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1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os\TRF1 Teletrabalho\TR Projetos\Enviados Processo\"/>
    </mc:Choice>
  </mc:AlternateContent>
  <xr:revisionPtr revIDLastSave="1" documentId="13_ncr:1_{A914A6A2-B9E2-4ECF-81C0-187E6C6FFC9E}" xr6:coauthVersionLast="47" xr6:coauthVersionMax="47" xr10:uidLastSave="{D6AAAAA1-86C1-463E-8E25-6812564E43E6}"/>
  <bookViews>
    <workbookView xWindow="-120" yWindow="-120" windowWidth="29040" windowHeight="15840" tabRatio="727" firstSheet="1" xr2:uid="{00000000-000D-0000-FFFF-FFFF00000000}"/>
  </bookViews>
  <sheets>
    <sheet name="ORÇAMENTO SINTÉTICO" sheetId="24" r:id="rId1"/>
    <sheet name="ORÇAMENTO POR ESCOPO" sheetId="23" r:id="rId2"/>
    <sheet name="ESTIMATIVA DE HORAS TÉCNICAS" sheetId="1" r:id="rId3"/>
    <sheet name="CALCULO DO FATO K" sheetId="10" r:id="rId4"/>
    <sheet name="OUTROS CUSTOS DIRETOS" sheetId="29" r:id="rId5"/>
    <sheet name="CRONOGRAM FÍSICO-FINANCEIRO" sheetId="4" r:id="rId6"/>
    <sheet name="Memorial quant. bloco C" sheetId="21" r:id="rId7"/>
    <sheet name="Orç. Laudo Pericial bloco C" sheetId="20" r:id="rId8"/>
    <sheet name="Laudo Pericial laje da praça" sheetId="22" r:id="rId9"/>
    <sheet name="CPU" sheetId="27" r:id="rId10"/>
    <sheet name="Curva ABC" sheetId="28" r:id="rId11"/>
    <sheet name="Pesquisa de Mercado" sheetId="30" r:id="rId12"/>
  </sheets>
  <definedNames>
    <definedName name="_xlnm._FilterDatabase" localSheetId="10" hidden="1">'Curva ABC'!$A$8:$F$8</definedName>
    <definedName name="_xlnm.Print_Area" localSheetId="3">'CALCULO DO FATO K'!$C$1:$E$34</definedName>
    <definedName name="_xlnm.Print_Area" localSheetId="5">'CRONOGRAM FÍSICO-FINANCEIRO'!$C$2:$AC$29</definedName>
    <definedName name="_xlnm.Print_Area" localSheetId="2">'ESTIMATIVA DE HORAS TÉCNICAS'!$A$5:$E$960</definedName>
    <definedName name="_xlnm.Print_Area" localSheetId="0">'ORÇAMENTO SINTÉTICO'!$C$2:$G$21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24" l="1"/>
  <c r="G30" i="1"/>
  <c r="H30" i="1"/>
  <c r="I30" i="1"/>
  <c r="J30" i="1"/>
  <c r="K30" i="1"/>
  <c r="L30" i="1"/>
  <c r="M30" i="1"/>
  <c r="N30" i="1"/>
  <c r="O30" i="1"/>
  <c r="P30" i="1"/>
  <c r="Q30" i="1"/>
  <c r="R30" i="1"/>
  <c r="F30" i="1"/>
  <c r="G21" i="20" l="1"/>
  <c r="H21" i="20" s="1"/>
  <c r="G10" i="20"/>
  <c r="G14" i="22"/>
  <c r="H14" i="22" s="1"/>
  <c r="C908" i="23" l="1"/>
  <c r="C575" i="23"/>
  <c r="C256" i="23"/>
  <c r="C33" i="23"/>
  <c r="C10" i="23"/>
  <c r="G252" i="1"/>
  <c r="H252" i="1"/>
  <c r="I252" i="1"/>
  <c r="J252" i="1"/>
  <c r="K252" i="1"/>
  <c r="L252" i="1"/>
  <c r="M252" i="1"/>
  <c r="N252" i="1"/>
  <c r="O252" i="1"/>
  <c r="P252" i="1"/>
  <c r="Q252" i="1"/>
  <c r="R252" i="1"/>
  <c r="F252" i="1"/>
  <c r="G32" i="1"/>
  <c r="H32" i="1"/>
  <c r="I32" i="1"/>
  <c r="J32" i="1"/>
  <c r="K32" i="1"/>
  <c r="L32" i="1"/>
  <c r="M32" i="1"/>
  <c r="N32" i="1"/>
  <c r="O32" i="1"/>
  <c r="P32" i="1"/>
  <c r="Q32" i="1"/>
  <c r="R32" i="1"/>
  <c r="F32" i="1"/>
  <c r="G577" i="1" l="1"/>
  <c r="H577" i="1"/>
  <c r="I577" i="1"/>
  <c r="J577" i="1"/>
  <c r="K577" i="1"/>
  <c r="L577" i="1"/>
  <c r="M577" i="1"/>
  <c r="N577" i="1"/>
  <c r="O577" i="1"/>
  <c r="P577" i="1"/>
  <c r="Q577" i="1"/>
  <c r="R577" i="1"/>
  <c r="F577" i="1"/>
  <c r="G258" i="1"/>
  <c r="H258" i="1"/>
  <c r="I258" i="1"/>
  <c r="J258" i="1"/>
  <c r="K258" i="1"/>
  <c r="L258" i="1"/>
  <c r="M258" i="1"/>
  <c r="M572" i="1" s="1"/>
  <c r="N258" i="1"/>
  <c r="N527" i="1" s="1"/>
  <c r="O258" i="1"/>
  <c r="P258" i="1"/>
  <c r="Q258" i="1"/>
  <c r="R258" i="1"/>
  <c r="R517" i="1" s="1"/>
  <c r="F258" i="1"/>
  <c r="Q107" i="1"/>
  <c r="Q116" i="1"/>
  <c r="Q211" i="1"/>
  <c r="Q239" i="1"/>
  <c r="Q244" i="1"/>
  <c r="G13" i="1"/>
  <c r="H13" i="1"/>
  <c r="I13" i="1"/>
  <c r="J13" i="1"/>
  <c r="J24" i="1" s="1"/>
  <c r="K13" i="1"/>
  <c r="K28" i="1" s="1"/>
  <c r="L13" i="1"/>
  <c r="L28" i="1" s="1"/>
  <c r="M13" i="1"/>
  <c r="M28" i="1" s="1"/>
  <c r="N13" i="1"/>
  <c r="N28" i="1" s="1"/>
  <c r="O13" i="1"/>
  <c r="P13" i="1"/>
  <c r="Q13" i="1"/>
  <c r="R13" i="1"/>
  <c r="F13" i="1"/>
  <c r="F28" i="1" s="1"/>
  <c r="F537" i="1"/>
  <c r="F527" i="1"/>
  <c r="F498" i="1"/>
  <c r="F489" i="1"/>
  <c r="F470" i="1"/>
  <c r="I80" i="1"/>
  <c r="I87" i="1" s="1"/>
  <c r="I50" i="1"/>
  <c r="G930" i="1"/>
  <c r="H930" i="1"/>
  <c r="I930" i="1"/>
  <c r="J930" i="1"/>
  <c r="K930" i="1"/>
  <c r="L930" i="1"/>
  <c r="M930" i="1"/>
  <c r="N930" i="1"/>
  <c r="O930" i="1"/>
  <c r="P930" i="1"/>
  <c r="Q930" i="1"/>
  <c r="R930" i="1"/>
  <c r="F930" i="1"/>
  <c r="G922" i="1"/>
  <c r="G926" i="1" s="1"/>
  <c r="H922" i="1"/>
  <c r="H924" i="1" s="1"/>
  <c r="I922" i="1"/>
  <c r="I927" i="1" s="1"/>
  <c r="J922" i="1"/>
  <c r="J924" i="1" s="1"/>
  <c r="K922" i="1"/>
  <c r="K923" i="1" s="1"/>
  <c r="L922" i="1"/>
  <c r="L925" i="1" s="1"/>
  <c r="M922" i="1"/>
  <c r="M923" i="1" s="1"/>
  <c r="N922" i="1"/>
  <c r="N923" i="1" s="1"/>
  <c r="O922" i="1"/>
  <c r="O925" i="1" s="1"/>
  <c r="P922" i="1"/>
  <c r="P923" i="1" s="1"/>
  <c r="Q922" i="1"/>
  <c r="Q923" i="1" s="1"/>
  <c r="R922" i="1"/>
  <c r="R923" i="1" s="1"/>
  <c r="F922" i="1"/>
  <c r="R924" i="1"/>
  <c r="N924" i="1"/>
  <c r="N925" i="1"/>
  <c r="J926" i="1"/>
  <c r="J928" i="1"/>
  <c r="J927" i="1"/>
  <c r="J923" i="1"/>
  <c r="I924" i="1"/>
  <c r="G928" i="1"/>
  <c r="I24" i="1" l="1"/>
  <c r="I28" i="1"/>
  <c r="H28" i="1"/>
  <c r="H25" i="1"/>
  <c r="G14" i="1"/>
  <c r="G26" i="1"/>
  <c r="F480" i="1"/>
  <c r="F329" i="1"/>
  <c r="Q295" i="1"/>
  <c r="Q507" i="1"/>
  <c r="Q489" i="1"/>
  <c r="Q365" i="1"/>
  <c r="Q277" i="1"/>
  <c r="Q260" i="1"/>
  <c r="P563" i="1"/>
  <c r="P498" i="1"/>
  <c r="P489" i="1"/>
  <c r="O572" i="1"/>
  <c r="O537" i="1"/>
  <c r="L411" i="1"/>
  <c r="L431" i="1"/>
  <c r="L421" i="1"/>
  <c r="L295" i="1"/>
  <c r="L286" i="1"/>
  <c r="K517" i="1"/>
  <c r="K489" i="1"/>
  <c r="K441" i="1"/>
  <c r="K365" i="1"/>
  <c r="J329" i="1"/>
  <c r="J333" i="1" s="1"/>
  <c r="J421" i="1"/>
  <c r="I295" i="1"/>
  <c r="I313" i="1"/>
  <c r="I260" i="1"/>
  <c r="H313" i="1"/>
  <c r="H286" i="1"/>
  <c r="H295" i="1"/>
  <c r="H365" i="1"/>
  <c r="H374" i="1"/>
  <c r="H411" i="1"/>
  <c r="H441" i="1"/>
  <c r="H451" i="1"/>
  <c r="H489" i="1"/>
  <c r="H517" i="1"/>
  <c r="H555" i="1"/>
  <c r="G260" i="1"/>
  <c r="G365" i="1"/>
  <c r="G537" i="1"/>
  <c r="G517" i="1"/>
  <c r="F352" i="1"/>
  <c r="L260" i="1"/>
  <c r="J313" i="1"/>
  <c r="L384" i="1"/>
  <c r="K451" i="1"/>
  <c r="L507" i="1"/>
  <c r="M295" i="1"/>
  <c r="L374" i="1"/>
  <c r="R393" i="1"/>
  <c r="L451" i="1"/>
  <c r="J28" i="1"/>
  <c r="L527" i="1"/>
  <c r="F260" i="1"/>
  <c r="F261" i="1" s="1"/>
  <c r="F555" i="1"/>
  <c r="F340" i="1"/>
  <c r="K27" i="1"/>
  <c r="G340" i="1"/>
  <c r="J277" i="1"/>
  <c r="Q321" i="1"/>
  <c r="K402" i="1"/>
  <c r="R460" i="1"/>
  <c r="M517" i="1"/>
  <c r="Q352" i="1"/>
  <c r="O924" i="1"/>
  <c r="J925" i="1"/>
  <c r="F365" i="1"/>
  <c r="F546" i="1"/>
  <c r="J27" i="1"/>
  <c r="G352" i="1"/>
  <c r="H527" i="1"/>
  <c r="H329" i="1"/>
  <c r="K277" i="1"/>
  <c r="K329" i="1"/>
  <c r="O411" i="1"/>
  <c r="K470" i="1"/>
  <c r="K527" i="1"/>
  <c r="Q329" i="1"/>
  <c r="M260" i="1"/>
  <c r="M924" i="1"/>
  <c r="F431" i="1"/>
  <c r="F277" i="1"/>
  <c r="G470" i="1"/>
  <c r="O277" i="1"/>
  <c r="Q340" i="1"/>
  <c r="Q411" i="1"/>
  <c r="K480" i="1"/>
  <c r="Q537" i="1"/>
  <c r="Q393" i="1"/>
  <c r="P924" i="1"/>
  <c r="J563" i="1"/>
  <c r="P925" i="1"/>
  <c r="N15" i="1"/>
  <c r="G329" i="1"/>
  <c r="G498" i="1"/>
  <c r="H537" i="1"/>
  <c r="H460" i="1"/>
  <c r="H384" i="1"/>
  <c r="H305" i="1"/>
  <c r="N260" i="1"/>
  <c r="I277" i="1"/>
  <c r="K286" i="1"/>
  <c r="J295" i="1"/>
  <c r="Q305" i="1"/>
  <c r="R321" i="1"/>
  <c r="R352" i="1"/>
  <c r="R374" i="1"/>
  <c r="M393" i="1"/>
  <c r="N411" i="1"/>
  <c r="K431" i="1"/>
  <c r="I451" i="1"/>
  <c r="Q460" i="1"/>
  <c r="R480" i="1"/>
  <c r="K507" i="1"/>
  <c r="L517" i="1"/>
  <c r="K537" i="1"/>
  <c r="P572" i="1"/>
  <c r="K572" i="1"/>
  <c r="N451" i="1"/>
  <c r="Q384" i="1"/>
  <c r="M431" i="1"/>
  <c r="M507" i="1"/>
  <c r="R537" i="1"/>
  <c r="J340" i="1"/>
  <c r="Q924" i="1"/>
  <c r="R927" i="1"/>
  <c r="L15" i="1"/>
  <c r="I27" i="1"/>
  <c r="G431" i="1"/>
  <c r="G572" i="1"/>
  <c r="G527" i="1"/>
  <c r="H507" i="1"/>
  <c r="H431" i="1"/>
  <c r="H352" i="1"/>
  <c r="H277" i="1"/>
  <c r="K260" i="1"/>
  <c r="L277" i="1"/>
  <c r="R277" i="1"/>
  <c r="R295" i="1"/>
  <c r="K313" i="1"/>
  <c r="R329" i="1"/>
  <c r="R365" i="1"/>
  <c r="K384" i="1"/>
  <c r="L402" i="1"/>
  <c r="R411" i="1"/>
  <c r="Q431" i="1"/>
  <c r="M451" i="1"/>
  <c r="Q470" i="1"/>
  <c r="R489" i="1"/>
  <c r="N507" i="1"/>
  <c r="O517" i="1"/>
  <c r="K546" i="1"/>
  <c r="J402" i="1"/>
  <c r="M411" i="1"/>
  <c r="N546" i="1"/>
  <c r="Q517" i="1"/>
  <c r="N295" i="1"/>
  <c r="P928" i="1"/>
  <c r="M384" i="1"/>
  <c r="N517" i="1"/>
  <c r="J411" i="1"/>
  <c r="J415" i="1" s="1"/>
  <c r="N537" i="1"/>
  <c r="G923" i="1"/>
  <c r="R925" i="1"/>
  <c r="R926" i="1"/>
  <c r="G460" i="1"/>
  <c r="G563" i="1"/>
  <c r="G564" i="1" s="1"/>
  <c r="H563" i="1"/>
  <c r="H498" i="1"/>
  <c r="H421" i="1"/>
  <c r="H340" i="1"/>
  <c r="R260" i="1"/>
  <c r="J260" i="1"/>
  <c r="N277" i="1"/>
  <c r="Q286" i="1"/>
  <c r="I305" i="1"/>
  <c r="Q313" i="1"/>
  <c r="K340" i="1"/>
  <c r="K374" i="1"/>
  <c r="I384" i="1"/>
  <c r="Q402" i="1"/>
  <c r="K421" i="1"/>
  <c r="R431" i="1"/>
  <c r="Q451" i="1"/>
  <c r="R470" i="1"/>
  <c r="K498" i="1"/>
  <c r="O507" i="1"/>
  <c r="K555" i="1"/>
  <c r="J321" i="1"/>
  <c r="M277" i="1"/>
  <c r="O546" i="1"/>
  <c r="L926" i="1"/>
  <c r="M25" i="1"/>
  <c r="R546" i="1"/>
  <c r="R563" i="1"/>
  <c r="R527" i="1"/>
  <c r="R555" i="1"/>
  <c r="R286" i="1"/>
  <c r="J305" i="1"/>
  <c r="R313" i="1"/>
  <c r="R384" i="1"/>
  <c r="R402" i="1"/>
  <c r="R451" i="1"/>
  <c r="J384" i="1"/>
  <c r="M527" i="1"/>
  <c r="H923" i="1"/>
  <c r="L924" i="1"/>
  <c r="N926" i="1"/>
  <c r="F26" i="1"/>
  <c r="G28" i="1"/>
  <c r="Q555" i="1"/>
  <c r="Q546" i="1"/>
  <c r="Q563" i="1"/>
  <c r="G277" i="1"/>
  <c r="G480" i="1"/>
  <c r="G555" i="1"/>
  <c r="H572" i="1"/>
  <c r="H480" i="1"/>
  <c r="H402" i="1"/>
  <c r="H321" i="1"/>
  <c r="P260" i="1"/>
  <c r="H260" i="1"/>
  <c r="I286" i="1"/>
  <c r="K295" i="1"/>
  <c r="K305" i="1"/>
  <c r="I321" i="1"/>
  <c r="R340" i="1"/>
  <c r="M374" i="1"/>
  <c r="K393" i="1"/>
  <c r="K411" i="1"/>
  <c r="M421" i="1"/>
  <c r="L441" i="1"/>
  <c r="L460" i="1"/>
  <c r="P480" i="1"/>
  <c r="Q498" i="1"/>
  <c r="R507" i="1"/>
  <c r="K563" i="1"/>
  <c r="J572" i="1"/>
  <c r="M460" i="1"/>
  <c r="O295" i="1"/>
  <c r="Q421" i="1"/>
  <c r="H927" i="1"/>
  <c r="N927" i="1"/>
  <c r="G286" i="1"/>
  <c r="G489" i="1"/>
  <c r="G546" i="1"/>
  <c r="H546" i="1"/>
  <c r="H470" i="1"/>
  <c r="H393" i="1"/>
  <c r="O260" i="1"/>
  <c r="J286" i="1"/>
  <c r="R305" i="1"/>
  <c r="K321" i="1"/>
  <c r="K352" i="1"/>
  <c r="Q374" i="1"/>
  <c r="L393" i="1"/>
  <c r="R421" i="1"/>
  <c r="M441" i="1"/>
  <c r="K460" i="1"/>
  <c r="Q480" i="1"/>
  <c r="R498" i="1"/>
  <c r="O527" i="1"/>
  <c r="J335" i="1"/>
  <c r="J331" i="1"/>
  <c r="J334" i="1"/>
  <c r="J336" i="1"/>
  <c r="J332" i="1"/>
  <c r="J330" i="1"/>
  <c r="J412" i="1"/>
  <c r="J417" i="1"/>
  <c r="F286" i="1"/>
  <c r="F460" i="1"/>
  <c r="F517" i="1"/>
  <c r="F563" i="1"/>
  <c r="I86" i="1"/>
  <c r="I90" i="1"/>
  <c r="I85" i="1"/>
  <c r="I91" i="1"/>
  <c r="I88" i="1"/>
  <c r="K926" i="1"/>
  <c r="O928" i="1"/>
  <c r="G924" i="1"/>
  <c r="K924" i="1"/>
  <c r="Q925" i="1"/>
  <c r="K928" i="1"/>
  <c r="L928" i="1"/>
  <c r="M928" i="1"/>
  <c r="O923" i="1"/>
  <c r="P927" i="1"/>
  <c r="Q927" i="1"/>
  <c r="O926" i="1"/>
  <c r="K927" i="1"/>
  <c r="M926" i="1"/>
  <c r="Q928" i="1"/>
  <c r="I926" i="1"/>
  <c r="M925" i="1"/>
  <c r="L927" i="1"/>
  <c r="N928" i="1"/>
  <c r="Q926" i="1"/>
  <c r="R928" i="1"/>
  <c r="H926" i="1"/>
  <c r="L923" i="1"/>
  <c r="H928" i="1"/>
  <c r="I923" i="1"/>
  <c r="I925" i="1"/>
  <c r="I928" i="1"/>
  <c r="G927" i="1"/>
  <c r="H29" i="10"/>
  <c r="C936" i="1"/>
  <c r="C919" i="23"/>
  <c r="G25" i="1"/>
  <c r="H27" i="1"/>
  <c r="N27" i="1"/>
  <c r="O927" i="1"/>
  <c r="J413" i="1" l="1"/>
  <c r="J414" i="1"/>
  <c r="J416" i="1"/>
  <c r="J579" i="1"/>
  <c r="J418" i="1"/>
  <c r="J405" i="1"/>
  <c r="J406" i="1"/>
  <c r="J407" i="1"/>
  <c r="J408" i="1"/>
  <c r="J403" i="1"/>
  <c r="J404" i="1"/>
  <c r="Q579" i="1"/>
  <c r="J345" i="1"/>
  <c r="J346" i="1"/>
  <c r="J347" i="1"/>
  <c r="J343" i="1"/>
  <c r="J348" i="1"/>
  <c r="J341" i="1"/>
  <c r="J349" i="1"/>
  <c r="J342" i="1"/>
  <c r="J344" i="1"/>
  <c r="F579" i="1"/>
  <c r="F581" i="1" s="1"/>
  <c r="F928" i="1"/>
  <c r="F923" i="1"/>
  <c r="F924" i="1"/>
  <c r="F926" i="1"/>
  <c r="F927" i="1"/>
  <c r="L26" i="1"/>
  <c r="F27" i="1"/>
  <c r="K925" i="1"/>
  <c r="N26" i="1"/>
  <c r="G925" i="1"/>
  <c r="M15" i="1"/>
  <c r="H925" i="1"/>
  <c r="P926" i="1"/>
  <c r="M927" i="1"/>
  <c r="F925" i="1"/>
  <c r="I381" i="1"/>
  <c r="J381" i="1"/>
  <c r="AD23" i="4"/>
  <c r="V23" i="4"/>
  <c r="J23" i="4"/>
  <c r="F15" i="29" l="1"/>
  <c r="F14" i="29"/>
  <c r="T4" i="30"/>
  <c r="V4" i="30" s="1"/>
  <c r="T5" i="30"/>
  <c r="V5" i="30" s="1"/>
  <c r="T3" i="30"/>
  <c r="V3" i="30" s="1"/>
  <c r="E23" i="29" l="1"/>
  <c r="F23" i="29" s="1"/>
  <c r="E33" i="29"/>
  <c r="F33" i="29" s="1"/>
  <c r="E18" i="29"/>
  <c r="F18" i="29" s="1"/>
  <c r="E28" i="29"/>
  <c r="F28" i="29" s="1"/>
  <c r="E11" i="29"/>
  <c r="F11" i="29" s="1"/>
  <c r="E13" i="29"/>
  <c r="F13" i="29" s="1"/>
  <c r="E35" i="29"/>
  <c r="F35" i="29" s="1"/>
  <c r="E20" i="29"/>
  <c r="F20" i="29" s="1"/>
  <c r="E30" i="29"/>
  <c r="F30" i="29" s="1"/>
  <c r="E25" i="29"/>
  <c r="F25" i="29" s="1"/>
  <c r="E24" i="29"/>
  <c r="F24" i="29" s="1"/>
  <c r="E29" i="29"/>
  <c r="F29" i="29" s="1"/>
  <c r="E34" i="29"/>
  <c r="F34" i="29" s="1"/>
  <c r="E12" i="29"/>
  <c r="F12" i="29" s="1"/>
  <c r="E19" i="29"/>
  <c r="F19" i="29" s="1"/>
  <c r="F21" i="29" s="1"/>
  <c r="F48" i="23" s="1"/>
  <c r="F36" i="29"/>
  <c r="F31" i="29" l="1"/>
  <c r="F586" i="23" s="1"/>
  <c r="F26" i="29"/>
  <c r="F270" i="23" s="1"/>
  <c r="F16" i="29"/>
  <c r="F29" i="23"/>
  <c r="F38" i="29" l="1"/>
  <c r="F915" i="23" s="1"/>
  <c r="F915" i="1"/>
  <c r="G583" i="1"/>
  <c r="H583" i="1"/>
  <c r="I583" i="1"/>
  <c r="I711" i="1" s="1"/>
  <c r="J583" i="1"/>
  <c r="J598" i="1" s="1"/>
  <c r="K583" i="1"/>
  <c r="L583" i="1"/>
  <c r="L849" i="1" s="1"/>
  <c r="M583" i="1"/>
  <c r="N583" i="1"/>
  <c r="N860" i="1" s="1"/>
  <c r="O583" i="1"/>
  <c r="O911" i="1" s="1"/>
  <c r="P583" i="1"/>
  <c r="P901" i="1" s="1"/>
  <c r="Q583" i="1"/>
  <c r="Q901" i="1" s="1"/>
  <c r="R583" i="1"/>
  <c r="R901" i="1" s="1"/>
  <c r="F583" i="1"/>
  <c r="F911" i="1" s="1"/>
  <c r="L34" i="1"/>
  <c r="M34" i="1"/>
  <c r="O34" i="1"/>
  <c r="P34" i="1"/>
  <c r="P36" i="1" s="1"/>
  <c r="F211" i="1"/>
  <c r="T13" i="1"/>
  <c r="U13" i="1"/>
  <c r="S13" i="1"/>
  <c r="O860" i="1"/>
  <c r="P247" i="1"/>
  <c r="U30" i="1"/>
  <c r="P915" i="1"/>
  <c r="L93" i="1"/>
  <c r="M93" i="1"/>
  <c r="N93" i="1"/>
  <c r="O93" i="1"/>
  <c r="P93" i="1"/>
  <c r="I93" i="1"/>
  <c r="J93" i="1"/>
  <c r="K915" i="1"/>
  <c r="E947" i="1"/>
  <c r="F947" i="1" s="1"/>
  <c r="E944" i="1"/>
  <c r="F944" i="1" s="1"/>
  <c r="O838" i="1" l="1"/>
  <c r="K34" i="1"/>
  <c r="K40" i="1" s="1"/>
  <c r="K169" i="1"/>
  <c r="K172" i="1" s="1"/>
  <c r="K249" i="1"/>
  <c r="K142" i="1"/>
  <c r="K107" i="1"/>
  <c r="K108" i="1" s="1"/>
  <c r="K136" i="1"/>
  <c r="K198" i="1"/>
  <c r="K178" i="1"/>
  <c r="K186" i="1"/>
  <c r="H690" i="1"/>
  <c r="H731" i="1"/>
  <c r="H701" i="1"/>
  <c r="H911" i="1"/>
  <c r="H627" i="1"/>
  <c r="H794" i="1"/>
  <c r="H805" i="1"/>
  <c r="H827" i="1"/>
  <c r="J34" i="1"/>
  <c r="J39" i="1" s="1"/>
  <c r="J249" i="1"/>
  <c r="J142" i="1"/>
  <c r="K701" i="1"/>
  <c r="K731" i="1"/>
  <c r="K805" i="1"/>
  <c r="K627" i="1"/>
  <c r="K827" i="1"/>
  <c r="K911" i="1"/>
  <c r="K690" i="1"/>
  <c r="K794" i="1"/>
  <c r="H249" i="1"/>
  <c r="H107" i="1"/>
  <c r="H169" i="1"/>
  <c r="H142" i="1"/>
  <c r="H198" i="1"/>
  <c r="H186" i="1"/>
  <c r="H178" i="1"/>
  <c r="H136" i="1"/>
  <c r="K501" i="1"/>
  <c r="K425" i="1"/>
  <c r="K380" i="1"/>
  <c r="F564" i="1"/>
  <c r="F567" i="1"/>
  <c r="F569" i="1"/>
  <c r="F565" i="1"/>
  <c r="F25" i="1"/>
  <c r="K15" i="1"/>
  <c r="K25" i="1"/>
  <c r="K26" i="1"/>
  <c r="I453" i="1"/>
  <c r="I454" i="1"/>
  <c r="I452" i="1"/>
  <c r="R27" i="1"/>
  <c r="R28" i="1"/>
  <c r="J26" i="1"/>
  <c r="J25" i="1"/>
  <c r="L532" i="1"/>
  <c r="L534" i="1"/>
  <c r="L530" i="1"/>
  <c r="L21" i="1"/>
  <c r="Q27" i="1"/>
  <c r="Q28" i="1"/>
  <c r="I26" i="1"/>
  <c r="I25" i="1"/>
  <c r="G565" i="1"/>
  <c r="G567" i="1"/>
  <c r="G569" i="1"/>
  <c r="P20" i="1"/>
  <c r="H24" i="1"/>
  <c r="S18" i="1"/>
  <c r="T20" i="1"/>
  <c r="O28" i="1"/>
  <c r="O21" i="1"/>
  <c r="G21" i="1"/>
  <c r="G27" i="1"/>
  <c r="N21" i="1"/>
  <c r="M21" i="1"/>
  <c r="U26" i="1"/>
  <c r="N849" i="1"/>
  <c r="N881" i="1"/>
  <c r="J721" i="1"/>
  <c r="J911" i="1"/>
  <c r="M911" i="1"/>
  <c r="M721" i="1"/>
  <c r="K849" i="1"/>
  <c r="K854" i="1" s="1"/>
  <c r="K772" i="1"/>
  <c r="K777" i="1" s="1"/>
  <c r="G668" i="1"/>
  <c r="G911" i="1"/>
  <c r="P566" i="1"/>
  <c r="O38" i="1"/>
  <c r="O39" i="1"/>
  <c r="L39" i="1"/>
  <c r="L38" i="1"/>
  <c r="M40" i="1"/>
  <c r="M38" i="1"/>
  <c r="J40" i="1"/>
  <c r="G751" i="1"/>
  <c r="K261" i="1"/>
  <c r="K437" i="1"/>
  <c r="Q26" i="1"/>
  <c r="M37" i="1"/>
  <c r="M39" i="1"/>
  <c r="O849" i="1"/>
  <c r="F34" i="1"/>
  <c r="O36" i="1"/>
  <c r="M14" i="1"/>
  <c r="M27" i="1"/>
  <c r="M26" i="1"/>
  <c r="I15" i="1"/>
  <c r="K19" i="1"/>
  <c r="F186" i="1"/>
  <c r="F239" i="1"/>
  <c r="L27" i="1"/>
  <c r="L25" i="1"/>
  <c r="H15" i="1"/>
  <c r="N25" i="1"/>
  <c r="F24" i="1"/>
  <c r="O14" i="1"/>
  <c r="O27" i="1"/>
  <c r="O25" i="1"/>
  <c r="K14" i="1"/>
  <c r="G16" i="1"/>
  <c r="P936" i="1"/>
  <c r="F19" i="1"/>
  <c r="G22" i="1"/>
  <c r="G17" i="1"/>
  <c r="K23" i="1"/>
  <c r="O23" i="1"/>
  <c r="Q618" i="1"/>
  <c r="I618" i="1"/>
  <c r="I701" i="1"/>
  <c r="I627" i="1"/>
  <c r="R618" i="1"/>
  <c r="J636" i="1"/>
  <c r="J701" i="1"/>
  <c r="J627" i="1"/>
  <c r="Q20" i="1"/>
  <c r="F936" i="1"/>
  <c r="M751" i="1"/>
  <c r="I636" i="1"/>
  <c r="K24" i="1"/>
  <c r="K21" i="1"/>
  <c r="G19" i="1"/>
  <c r="K16" i="1"/>
  <c r="O26" i="1"/>
  <c r="O15" i="1"/>
  <c r="F101" i="1"/>
  <c r="F881" i="1"/>
  <c r="F627" i="1"/>
  <c r="F628" i="1" s="1"/>
  <c r="G881" i="1"/>
  <c r="G627" i="1"/>
  <c r="H901" i="1"/>
  <c r="H816" i="1"/>
  <c r="Q34" i="1"/>
  <c r="G23" i="1"/>
  <c r="K17" i="1"/>
  <c r="G15" i="1"/>
  <c r="M23" i="1"/>
  <c r="U20" i="1"/>
  <c r="N204" i="1"/>
  <c r="N211" i="1"/>
  <c r="N136" i="1"/>
  <c r="N226" i="1"/>
  <c r="N65" i="1"/>
  <c r="N219" i="1"/>
  <c r="N232" i="1"/>
  <c r="N50" i="1"/>
  <c r="N838" i="1"/>
  <c r="N731" i="1"/>
  <c r="O226" i="1"/>
  <c r="O204" i="1"/>
  <c r="O232" i="1"/>
  <c r="O65" i="1"/>
  <c r="O219" i="1"/>
  <c r="O50" i="1"/>
  <c r="O136" i="1"/>
  <c r="O249" i="1"/>
  <c r="O250" i="1" s="1"/>
  <c r="O211" i="1"/>
  <c r="K57" i="1"/>
  <c r="K80" i="1"/>
  <c r="K239" i="1"/>
  <c r="K241" i="1" s="1"/>
  <c r="K242" i="1" s="1"/>
  <c r="K192" i="1"/>
  <c r="K116" i="1"/>
  <c r="K148" i="1"/>
  <c r="K162" i="1"/>
  <c r="K50" i="1"/>
  <c r="K154" i="1"/>
  <c r="K204" i="1"/>
  <c r="K206" i="1" s="1"/>
  <c r="K219" i="1"/>
  <c r="K221" i="1" s="1"/>
  <c r="K224" i="1" s="1"/>
  <c r="K232" i="1"/>
  <c r="K233" i="1" s="1"/>
  <c r="K237" i="1" s="1"/>
  <c r="K244" i="1"/>
  <c r="K245" i="1" s="1"/>
  <c r="K129" i="1"/>
  <c r="K65" i="1"/>
  <c r="K75" i="1"/>
  <c r="K77" i="1" s="1"/>
  <c r="K95" i="1"/>
  <c r="K98" i="1" s="1"/>
  <c r="K211" i="1"/>
  <c r="K214" i="1" s="1"/>
  <c r="K217" i="1" s="1"/>
  <c r="K226" i="1"/>
  <c r="K228" i="1" s="1"/>
  <c r="K230" i="1" s="1"/>
  <c r="K70" i="1"/>
  <c r="K101" i="1"/>
  <c r="K104" i="1" s="1"/>
  <c r="K122" i="1"/>
  <c r="G148" i="1"/>
  <c r="G50" i="1"/>
  <c r="G186" i="1"/>
  <c r="G198" i="1"/>
  <c r="G95" i="1"/>
  <c r="G178" i="1"/>
  <c r="G219" i="1"/>
  <c r="G34" i="1"/>
  <c r="G38" i="1" s="1"/>
  <c r="G80" i="1"/>
  <c r="G169" i="1"/>
  <c r="G211" i="1"/>
  <c r="G239" i="1"/>
  <c r="G244" i="1"/>
  <c r="G57" i="1"/>
  <c r="G192" i="1"/>
  <c r="G232" i="1"/>
  <c r="G101" i="1"/>
  <c r="G226" i="1"/>
  <c r="H26" i="1"/>
  <c r="H18" i="1"/>
  <c r="H14" i="1"/>
  <c r="N14" i="1"/>
  <c r="T18" i="1"/>
  <c r="Q438" i="1"/>
  <c r="M761" i="1"/>
  <c r="I598" i="1"/>
  <c r="F14" i="1"/>
  <c r="F22" i="1"/>
  <c r="G24" i="1"/>
  <c r="K22" i="1"/>
  <c r="H21" i="1"/>
  <c r="G20" i="1"/>
  <c r="K18" i="1"/>
  <c r="H17" i="1"/>
  <c r="N23" i="1"/>
  <c r="Q17" i="1"/>
  <c r="Q25" i="1"/>
  <c r="R23" i="1"/>
  <c r="U27" i="1"/>
  <c r="P57" i="1"/>
  <c r="P58" i="1" s="1"/>
  <c r="P63" i="1" s="1"/>
  <c r="P219" i="1"/>
  <c r="P221" i="1" s="1"/>
  <c r="P186" i="1"/>
  <c r="P187" i="1" s="1"/>
  <c r="P192" i="1"/>
  <c r="P193" i="1" s="1"/>
  <c r="P232" i="1"/>
  <c r="P198" i="1"/>
  <c r="P201" i="1" s="1"/>
  <c r="P239" i="1"/>
  <c r="P211" i="1"/>
  <c r="P214" i="1" s="1"/>
  <c r="P75" i="1"/>
  <c r="L142" i="1"/>
  <c r="L219" i="1"/>
  <c r="L50" i="1"/>
  <c r="L57" i="1"/>
  <c r="L122" i="1"/>
  <c r="L148" i="1"/>
  <c r="L154" i="1"/>
  <c r="L162" i="1"/>
  <c r="L136" i="1"/>
  <c r="L107" i="1"/>
  <c r="L211" i="1"/>
  <c r="L116" i="1"/>
  <c r="L129" i="1"/>
  <c r="L204" i="1"/>
  <c r="H57" i="1"/>
  <c r="H70" i="1"/>
  <c r="H80" i="1"/>
  <c r="H101" i="1"/>
  <c r="H192" i="1"/>
  <c r="H244" i="1"/>
  <c r="H50" i="1"/>
  <c r="H65" i="1"/>
  <c r="H75" i="1"/>
  <c r="H95" i="1"/>
  <c r="H116" i="1"/>
  <c r="H129" i="1"/>
  <c r="H122" i="1"/>
  <c r="H154" i="1"/>
  <c r="H204" i="1"/>
  <c r="H239" i="1"/>
  <c r="H148" i="1"/>
  <c r="H162" i="1"/>
  <c r="H211" i="1"/>
  <c r="H215" i="1" s="1"/>
  <c r="H217" i="1" s="1"/>
  <c r="H226" i="1"/>
  <c r="H219" i="1"/>
  <c r="H232" i="1"/>
  <c r="L731" i="1"/>
  <c r="L721" i="1"/>
  <c r="L761" i="1"/>
  <c r="L772" i="1"/>
  <c r="R636" i="1"/>
  <c r="J618" i="1"/>
  <c r="R598" i="1"/>
  <c r="P22" i="1"/>
  <c r="H20" i="1"/>
  <c r="H16" i="1"/>
  <c r="L23" i="1"/>
  <c r="L14" i="1"/>
  <c r="Q16" i="1"/>
  <c r="Q24" i="1"/>
  <c r="R19" i="1"/>
  <c r="S20" i="1"/>
  <c r="U23" i="1"/>
  <c r="M249" i="1"/>
  <c r="M250" i="1" s="1"/>
  <c r="M50" i="1"/>
  <c r="M57" i="1"/>
  <c r="M107" i="1"/>
  <c r="M122" i="1"/>
  <c r="M148" i="1"/>
  <c r="M142" i="1"/>
  <c r="M211" i="1"/>
  <c r="M136" i="1"/>
  <c r="M116" i="1"/>
  <c r="M129" i="1"/>
  <c r="M162" i="1"/>
  <c r="M204" i="1"/>
  <c r="M65" i="1"/>
  <c r="M154" i="1"/>
  <c r="M219" i="1"/>
  <c r="K936" i="1"/>
  <c r="R838" i="1"/>
  <c r="R849" i="1"/>
  <c r="N34" i="1"/>
  <c r="H34" i="1"/>
  <c r="H23" i="1"/>
  <c r="H19" i="1"/>
  <c r="Q21" i="1"/>
  <c r="R15" i="1"/>
  <c r="U18" i="1"/>
  <c r="R162" i="1"/>
  <c r="R129" i="1"/>
  <c r="R95" i="1"/>
  <c r="R70" i="1"/>
  <c r="R239" i="1"/>
  <c r="R142" i="1"/>
  <c r="R116" i="1"/>
  <c r="R65" i="1"/>
  <c r="R232" i="1"/>
  <c r="R226" i="1"/>
  <c r="R211" i="1"/>
  <c r="R192" i="1"/>
  <c r="R169" i="1"/>
  <c r="R136" i="1"/>
  <c r="R101" i="1"/>
  <c r="R75" i="1"/>
  <c r="R50" i="1"/>
  <c r="R178" i="1"/>
  <c r="R107" i="1"/>
  <c r="R57" i="1"/>
  <c r="R244" i="1"/>
  <c r="R219" i="1"/>
  <c r="R198" i="1"/>
  <c r="R186" i="1"/>
  <c r="R148" i="1"/>
  <c r="R80" i="1"/>
  <c r="R14" i="1"/>
  <c r="R22" i="1"/>
  <c r="R17" i="1"/>
  <c r="R21" i="1"/>
  <c r="R25" i="1"/>
  <c r="R18" i="1"/>
  <c r="R26" i="1"/>
  <c r="R34" i="1"/>
  <c r="R16" i="1"/>
  <c r="R20" i="1"/>
  <c r="R24" i="1"/>
  <c r="Q15" i="1"/>
  <c r="Q19" i="1"/>
  <c r="Q23" i="1"/>
  <c r="Q198" i="1"/>
  <c r="Q178" i="1"/>
  <c r="Q162" i="1"/>
  <c r="Q142" i="1"/>
  <c r="Q129" i="1"/>
  <c r="Q101" i="1"/>
  <c r="Q80" i="1"/>
  <c r="Q70" i="1"/>
  <c r="Q192" i="1"/>
  <c r="Q75" i="1"/>
  <c r="Q65" i="1"/>
  <c r="Q50" i="1"/>
  <c r="Q226" i="1"/>
  <c r="Q204" i="1"/>
  <c r="Q186" i="1"/>
  <c r="Q169" i="1"/>
  <c r="Q148" i="1"/>
  <c r="Q136" i="1"/>
  <c r="Q95" i="1"/>
  <c r="Q232" i="1"/>
  <c r="Q219" i="1"/>
  <c r="Q57" i="1"/>
  <c r="Q598" i="1"/>
  <c r="Q14" i="1"/>
  <c r="Q18" i="1"/>
  <c r="Q22" i="1"/>
  <c r="J22" i="1"/>
  <c r="J19" i="1"/>
  <c r="J16" i="1"/>
  <c r="J21" i="1"/>
  <c r="J17" i="1"/>
  <c r="J14" i="1"/>
  <c r="J75" i="1"/>
  <c r="J116" i="1"/>
  <c r="J186" i="1"/>
  <c r="J50" i="1"/>
  <c r="J70" i="1"/>
  <c r="J244" i="1"/>
  <c r="J57" i="1"/>
  <c r="J65" i="1"/>
  <c r="J23" i="1"/>
  <c r="J18" i="1"/>
  <c r="J15" i="1"/>
  <c r="I16" i="1"/>
  <c r="I65" i="1"/>
  <c r="I107" i="1"/>
  <c r="I116" i="1"/>
  <c r="I57" i="1"/>
  <c r="I70" i="1"/>
  <c r="I75" i="1"/>
  <c r="I21" i="1"/>
  <c r="I17" i="1"/>
  <c r="I22" i="1"/>
  <c r="I18" i="1"/>
  <c r="I14" i="1"/>
  <c r="I34" i="1"/>
  <c r="I23" i="1"/>
  <c r="I19" i="1"/>
  <c r="F198" i="1"/>
  <c r="F178" i="1"/>
  <c r="F668" i="1"/>
  <c r="F849" i="1"/>
  <c r="F827" i="1"/>
  <c r="F805" i="1"/>
  <c r="F16" i="1"/>
  <c r="F15" i="1"/>
  <c r="F20" i="1"/>
  <c r="F21" i="1"/>
  <c r="F232" i="1"/>
  <c r="F192" i="1"/>
  <c r="F80" i="1"/>
  <c r="F95" i="1"/>
  <c r="F18" i="1"/>
  <c r="F23" i="1"/>
  <c r="F219" i="1"/>
  <c r="F148" i="1"/>
  <c r="F50" i="1"/>
  <c r="F17" i="1"/>
  <c r="F226" i="1"/>
  <c r="F169" i="1"/>
  <c r="F57" i="1"/>
  <c r="F244" i="1"/>
  <c r="K41" i="1"/>
  <c r="O37" i="1"/>
  <c r="K44" i="1"/>
  <c r="K42" i="1"/>
  <c r="O40" i="1"/>
  <c r="O35" i="1"/>
  <c r="O45" i="1"/>
  <c r="K45" i="1"/>
  <c r="O44" i="1"/>
  <c r="O41" i="1"/>
  <c r="J35" i="1"/>
  <c r="O42" i="1"/>
  <c r="K35" i="1"/>
  <c r="P911" i="1"/>
  <c r="L751" i="1"/>
  <c r="Q838" i="1"/>
  <c r="M731" i="1"/>
  <c r="Q849" i="1"/>
  <c r="Q636" i="1"/>
  <c r="F751" i="1"/>
  <c r="R438" i="1"/>
  <c r="L45" i="1"/>
  <c r="O43" i="1"/>
  <c r="L42" i="1"/>
  <c r="M41" i="1"/>
  <c r="L35" i="1"/>
  <c r="P37" i="1"/>
  <c r="M45" i="1"/>
  <c r="L43" i="1"/>
  <c r="M42" i="1"/>
  <c r="L36" i="1"/>
  <c r="M35" i="1"/>
  <c r="L44" i="1"/>
  <c r="M43" i="1"/>
  <c r="L40" i="1"/>
  <c r="L37" i="1"/>
  <c r="M36" i="1"/>
  <c r="M44" i="1"/>
  <c r="L41" i="1"/>
  <c r="P905" i="1"/>
  <c r="K280" i="1"/>
  <c r="K341" i="1"/>
  <c r="K485" i="1"/>
  <c r="P585" i="1"/>
  <c r="K636" i="1"/>
  <c r="K668" i="1"/>
  <c r="K673" i="1" s="1"/>
  <c r="K680" i="1"/>
  <c r="K684" i="1" s="1"/>
  <c r="K711" i="1"/>
  <c r="K721" i="1"/>
  <c r="K725" i="1" s="1"/>
  <c r="K881" i="1"/>
  <c r="P805" i="1"/>
  <c r="P806" i="1" s="1"/>
  <c r="P499" i="1"/>
  <c r="K388" i="1"/>
  <c r="K618" i="1"/>
  <c r="K621" i="1" s="1"/>
  <c r="K751" i="1"/>
  <c r="K816" i="1"/>
  <c r="K821" i="1" s="1"/>
  <c r="K871" i="1"/>
  <c r="K875" i="1" s="1"/>
  <c r="K901" i="1"/>
  <c r="P827" i="1"/>
  <c r="P830" i="1" s="1"/>
  <c r="P484" i="1"/>
  <c r="P816" i="1"/>
  <c r="P818" i="1" s="1"/>
  <c r="K369" i="1"/>
  <c r="K428" i="1"/>
  <c r="K474" i="1"/>
  <c r="K523" i="1"/>
  <c r="K585" i="1"/>
  <c r="K588" i="1" s="1"/>
  <c r="K656" i="1"/>
  <c r="K741" i="1"/>
  <c r="K745" i="1" s="1"/>
  <c r="K783" i="1"/>
  <c r="K838" i="1"/>
  <c r="K860" i="1"/>
  <c r="K865" i="1" s="1"/>
  <c r="K891" i="1"/>
  <c r="K896" i="1" s="1"/>
  <c r="P262" i="1"/>
  <c r="K360" i="1"/>
  <c r="K466" i="1"/>
  <c r="K608" i="1"/>
  <c r="K609" i="1" s="1"/>
  <c r="K598" i="1"/>
  <c r="K603" i="1" s="1"/>
  <c r="K645" i="1"/>
  <c r="K761" i="1"/>
  <c r="K778" i="1"/>
  <c r="K262" i="1"/>
  <c r="K270" i="1"/>
  <c r="P902" i="1"/>
  <c r="P903" i="1"/>
  <c r="P904" i="1"/>
  <c r="P906" i="1"/>
  <c r="P899" i="1"/>
  <c r="P449" i="1"/>
  <c r="P525" i="1"/>
  <c r="P535" i="1"/>
  <c r="P553" i="1"/>
  <c r="P561" i="1"/>
  <c r="K263" i="1"/>
  <c r="K267" i="1"/>
  <c r="K269" i="1"/>
  <c r="K264" i="1"/>
  <c r="T30" i="1"/>
  <c r="K855" i="1" l="1"/>
  <c r="J42" i="1"/>
  <c r="J37" i="1"/>
  <c r="J44" i="1"/>
  <c r="J45" i="1"/>
  <c r="J36" i="1"/>
  <c r="J43" i="1"/>
  <c r="J41" i="1"/>
  <c r="I254" i="1"/>
  <c r="K36" i="1"/>
  <c r="J38" i="1"/>
  <c r="K39" i="1"/>
  <c r="T29" i="1"/>
  <c r="K268" i="1"/>
  <c r="K271" i="1"/>
  <c r="K266" i="1"/>
  <c r="K265" i="1"/>
  <c r="K43" i="1"/>
  <c r="K37" i="1"/>
  <c r="K38" i="1"/>
  <c r="I29" i="1"/>
  <c r="H29" i="1"/>
  <c r="F29" i="1"/>
  <c r="H808" i="1"/>
  <c r="H810" i="1"/>
  <c r="H806" i="1"/>
  <c r="H807" i="1"/>
  <c r="H811" i="1"/>
  <c r="K736" i="1"/>
  <c r="K732" i="1"/>
  <c r="K733" i="1"/>
  <c r="K734" i="1"/>
  <c r="K735" i="1"/>
  <c r="K200" i="1"/>
  <c r="K199" i="1"/>
  <c r="U29" i="1"/>
  <c r="K706" i="1"/>
  <c r="H629" i="1"/>
  <c r="H628" i="1"/>
  <c r="H630" i="1"/>
  <c r="H631" i="1"/>
  <c r="H633" i="1"/>
  <c r="H111" i="1"/>
  <c r="H109" i="1"/>
  <c r="H112" i="1"/>
  <c r="H108" i="1"/>
  <c r="H110" i="1"/>
  <c r="H799" i="1"/>
  <c r="H800" i="1"/>
  <c r="H795" i="1"/>
  <c r="H796" i="1"/>
  <c r="H797" i="1"/>
  <c r="G29" i="1"/>
  <c r="M29" i="1"/>
  <c r="K800" i="1"/>
  <c r="K795" i="1"/>
  <c r="K797" i="1"/>
  <c r="K799" i="1"/>
  <c r="K796" i="1"/>
  <c r="J424" i="1"/>
  <c r="J425" i="1"/>
  <c r="J426" i="1"/>
  <c r="J422" i="1"/>
  <c r="J423" i="1"/>
  <c r="H254" i="1"/>
  <c r="R29" i="1"/>
  <c r="H181" i="1"/>
  <c r="H182" i="1"/>
  <c r="H179" i="1"/>
  <c r="K693" i="1"/>
  <c r="K694" i="1"/>
  <c r="K695" i="1"/>
  <c r="K696" i="1"/>
  <c r="K697" i="1"/>
  <c r="J145" i="1"/>
  <c r="J144" i="1"/>
  <c r="J143" i="1"/>
  <c r="H706" i="1"/>
  <c r="H705" i="1"/>
  <c r="H704" i="1"/>
  <c r="H703" i="1"/>
  <c r="H702" i="1"/>
  <c r="K145" i="1"/>
  <c r="K143" i="1"/>
  <c r="K144" i="1"/>
  <c r="K806" i="1"/>
  <c r="K811" i="1"/>
  <c r="K807" i="1"/>
  <c r="K808" i="1"/>
  <c r="K810" i="1"/>
  <c r="L29" i="1"/>
  <c r="S29" i="1"/>
  <c r="H188" i="1"/>
  <c r="H189" i="1"/>
  <c r="H187" i="1"/>
  <c r="H736" i="1"/>
  <c r="H732" i="1"/>
  <c r="H733" i="1"/>
  <c r="H734" i="1"/>
  <c r="H735" i="1"/>
  <c r="H201" i="1"/>
  <c r="H200" i="1"/>
  <c r="H199" i="1"/>
  <c r="K832" i="1"/>
  <c r="K833" i="1"/>
  <c r="K830" i="1"/>
  <c r="K828" i="1"/>
  <c r="K829" i="1"/>
  <c r="H694" i="1"/>
  <c r="H695" i="1"/>
  <c r="H696" i="1"/>
  <c r="H691" i="1"/>
  <c r="H693" i="1"/>
  <c r="K181" i="1"/>
  <c r="K179" i="1"/>
  <c r="P29" i="1"/>
  <c r="O29" i="1"/>
  <c r="H145" i="1"/>
  <c r="H144" i="1"/>
  <c r="H143" i="1"/>
  <c r="K629" i="1"/>
  <c r="K630" i="1"/>
  <c r="K631" i="1"/>
  <c r="K628" i="1"/>
  <c r="K633" i="1"/>
  <c r="K188" i="1"/>
  <c r="K187" i="1"/>
  <c r="Q567" i="1"/>
  <c r="Q569" i="1"/>
  <c r="Q565" i="1"/>
  <c r="K514" i="1"/>
  <c r="K509" i="1"/>
  <c r="K511" i="1"/>
  <c r="P494" i="1"/>
  <c r="P491" i="1"/>
  <c r="P495" i="1"/>
  <c r="P490" i="1"/>
  <c r="K397" i="1"/>
  <c r="K399" i="1"/>
  <c r="K395" i="1"/>
  <c r="K299" i="1"/>
  <c r="K296" i="1"/>
  <c r="K297" i="1"/>
  <c r="L511" i="1"/>
  <c r="L509" i="1"/>
  <c r="F550" i="1"/>
  <c r="F548" i="1"/>
  <c r="R336" i="1"/>
  <c r="R331" i="1"/>
  <c r="R335" i="1"/>
  <c r="R332" i="1"/>
  <c r="M414" i="1"/>
  <c r="M418" i="1"/>
  <c r="Q322" i="1"/>
  <c r="Q326" i="1"/>
  <c r="N29" i="1"/>
  <c r="K307" i="1"/>
  <c r="K310" i="1"/>
  <c r="K493" i="1"/>
  <c r="K495" i="1"/>
  <c r="K491" i="1"/>
  <c r="K490" i="1"/>
  <c r="N532" i="1"/>
  <c r="N534" i="1"/>
  <c r="N530" i="1"/>
  <c r="I297" i="1"/>
  <c r="I296" i="1"/>
  <c r="L404" i="1"/>
  <c r="L408" i="1"/>
  <c r="Q335" i="1"/>
  <c r="Q336" i="1"/>
  <c r="Q331" i="1"/>
  <c r="Q332" i="1"/>
  <c r="R567" i="1"/>
  <c r="R569" i="1"/>
  <c r="R565" i="1"/>
  <c r="K333" i="1"/>
  <c r="K336" i="1"/>
  <c r="K331" i="1"/>
  <c r="K335" i="1"/>
  <c r="K332" i="1"/>
  <c r="K550" i="1"/>
  <c r="K548" i="1"/>
  <c r="I307" i="1"/>
  <c r="I310" i="1"/>
  <c r="R322" i="1"/>
  <c r="R326" i="1"/>
  <c r="J322" i="1"/>
  <c r="J326" i="1"/>
  <c r="N452" i="1"/>
  <c r="N453" i="1"/>
  <c r="J307" i="1"/>
  <c r="J310" i="1"/>
  <c r="Q291" i="1"/>
  <c r="Q288" i="1"/>
  <c r="O534" i="1"/>
  <c r="O532" i="1"/>
  <c r="O530" i="1"/>
  <c r="R310" i="1"/>
  <c r="R307" i="1"/>
  <c r="Q29" i="1"/>
  <c r="L418" i="1"/>
  <c r="L414" i="1"/>
  <c r="K291" i="1"/>
  <c r="K288" i="1"/>
  <c r="K540" i="1"/>
  <c r="K541" i="1"/>
  <c r="K539" i="1"/>
  <c r="N509" i="1"/>
  <c r="N511" i="1"/>
  <c r="R418" i="1"/>
  <c r="R414" i="1"/>
  <c r="I322" i="1"/>
  <c r="I326" i="1"/>
  <c r="Q307" i="1"/>
  <c r="Q310" i="1"/>
  <c r="L448" i="1"/>
  <c r="L442" i="1"/>
  <c r="L447" i="1"/>
  <c r="L444" i="1"/>
  <c r="N296" i="1"/>
  <c r="N297" i="1"/>
  <c r="P567" i="1"/>
  <c r="P569" i="1"/>
  <c r="P565" i="1"/>
  <c r="K29" i="1"/>
  <c r="K417" i="1"/>
  <c r="K418" i="1"/>
  <c r="K414" i="1"/>
  <c r="K533" i="1"/>
  <c r="K534" i="1"/>
  <c r="K530" i="1"/>
  <c r="K532" i="1"/>
  <c r="R530" i="1"/>
  <c r="R532" i="1"/>
  <c r="R534" i="1"/>
  <c r="J314" i="1"/>
  <c r="J318" i="1"/>
  <c r="Q418" i="1"/>
  <c r="Q414" i="1"/>
  <c r="L399" i="1"/>
  <c r="L395" i="1"/>
  <c r="I291" i="1"/>
  <c r="I288" i="1"/>
  <c r="M399" i="1"/>
  <c r="M395" i="1"/>
  <c r="J29" i="1"/>
  <c r="F288" i="1"/>
  <c r="F291" i="1"/>
  <c r="K558" i="1"/>
  <c r="K556" i="1"/>
  <c r="K557" i="1"/>
  <c r="K559" i="1"/>
  <c r="K404" i="1"/>
  <c r="K408" i="1"/>
  <c r="R550" i="1"/>
  <c r="R548" i="1"/>
  <c r="Q550" i="1"/>
  <c r="Q548" i="1"/>
  <c r="I318" i="1"/>
  <c r="I314" i="1"/>
  <c r="H567" i="1"/>
  <c r="H569" i="1"/>
  <c r="H565" i="1"/>
  <c r="K453" i="1"/>
  <c r="K452" i="1"/>
  <c r="K322" i="1"/>
  <c r="K326" i="1"/>
  <c r="R288" i="1"/>
  <c r="R291" i="1"/>
  <c r="K564" i="1"/>
  <c r="K567" i="1"/>
  <c r="K569" i="1"/>
  <c r="K565" i="1"/>
  <c r="K314" i="1"/>
  <c r="K318" i="1"/>
  <c r="K448" i="1"/>
  <c r="K442" i="1"/>
  <c r="K447" i="1"/>
  <c r="K444" i="1"/>
  <c r="M452" i="1"/>
  <c r="M453" i="1"/>
  <c r="F331" i="1"/>
  <c r="F336" i="1"/>
  <c r="F335" i="1"/>
  <c r="F332" i="1"/>
  <c r="O509" i="1"/>
  <c r="O511" i="1"/>
  <c r="H534" i="1"/>
  <c r="H530" i="1"/>
  <c r="H532" i="1"/>
  <c r="P568" i="1"/>
  <c r="P564" i="1"/>
  <c r="P189" i="1"/>
  <c r="G628" i="1"/>
  <c r="G629" i="1"/>
  <c r="N38" i="1"/>
  <c r="N39" i="1"/>
  <c r="N40" i="1"/>
  <c r="H45" i="1"/>
  <c r="H38" i="1"/>
  <c r="H39" i="1"/>
  <c r="Q40" i="1"/>
  <c r="Q39" i="1"/>
  <c r="Q38" i="1"/>
  <c r="F37" i="1"/>
  <c r="F38" i="1"/>
  <c r="I40" i="1"/>
  <c r="I38" i="1"/>
  <c r="I39" i="1"/>
  <c r="R39" i="1"/>
  <c r="R40" i="1"/>
  <c r="F42" i="1"/>
  <c r="H44" i="1"/>
  <c r="Q43" i="1"/>
  <c r="H35" i="1"/>
  <c r="K917" i="1"/>
  <c r="K919" i="1" s="1"/>
  <c r="F36" i="1"/>
  <c r="F45" i="1"/>
  <c r="F35" i="1"/>
  <c r="F41" i="1"/>
  <c r="K602" i="1"/>
  <c r="P194" i="1"/>
  <c r="P195" i="1"/>
  <c r="F40" i="1"/>
  <c r="F44" i="1"/>
  <c r="G43" i="1"/>
  <c r="G39" i="1"/>
  <c r="N44" i="1"/>
  <c r="Q36" i="1"/>
  <c r="K175" i="1"/>
  <c r="K176" i="1" s="1"/>
  <c r="H41" i="1"/>
  <c r="H43" i="1"/>
  <c r="I37" i="1"/>
  <c r="F43" i="1"/>
  <c r="F39" i="1"/>
  <c r="P199" i="1"/>
  <c r="R333" i="1"/>
  <c r="R330" i="1"/>
  <c r="R334" i="1"/>
  <c r="Q333" i="1"/>
  <c r="Q330" i="1"/>
  <c r="Q334" i="1"/>
  <c r="Q41" i="1"/>
  <c r="N43" i="1"/>
  <c r="Q45" i="1"/>
  <c r="P200" i="1"/>
  <c r="H37" i="1"/>
  <c r="Q37" i="1"/>
  <c r="Q44" i="1"/>
  <c r="R41" i="1"/>
  <c r="H42" i="1"/>
  <c r="K866" i="1"/>
  <c r="K869" i="1" s="1"/>
  <c r="H40" i="1"/>
  <c r="Q35" i="1"/>
  <c r="Q42" i="1"/>
  <c r="H36" i="1"/>
  <c r="H133" i="1"/>
  <c r="H132" i="1"/>
  <c r="H77" i="1"/>
  <c r="H76" i="1"/>
  <c r="K531" i="1"/>
  <c r="K685" i="1"/>
  <c r="P188" i="1"/>
  <c r="I36" i="1"/>
  <c r="I43" i="1"/>
  <c r="K78" i="1"/>
  <c r="R44" i="1"/>
  <c r="N45" i="1"/>
  <c r="N42" i="1"/>
  <c r="K105" i="1"/>
  <c r="I44" i="1"/>
  <c r="I35" i="1"/>
  <c r="I42" i="1"/>
  <c r="I45" i="1"/>
  <c r="R43" i="1"/>
  <c r="I41" i="1"/>
  <c r="R42" i="1"/>
  <c r="G234" i="1"/>
  <c r="G233" i="1"/>
  <c r="G236" i="1"/>
  <c r="G235" i="1"/>
  <c r="G35" i="1"/>
  <c r="G42" i="1"/>
  <c r="G36" i="1"/>
  <c r="G41" i="1"/>
  <c r="G45" i="1"/>
  <c r="G37" i="1"/>
  <c r="G40" i="1"/>
  <c r="G44" i="1"/>
  <c r="N36" i="1"/>
  <c r="N35" i="1"/>
  <c r="N732" i="1"/>
  <c r="N736" i="1"/>
  <c r="N735" i="1"/>
  <c r="N733" i="1"/>
  <c r="N734" i="1"/>
  <c r="P917" i="1"/>
  <c r="P919" i="1" s="1"/>
  <c r="P504" i="1"/>
  <c r="K324" i="1"/>
  <c r="P500" i="1"/>
  <c r="K543" i="1"/>
  <c r="N37" i="1"/>
  <c r="R37" i="1"/>
  <c r="R35" i="1"/>
  <c r="N41" i="1"/>
  <c r="P254" i="1"/>
  <c r="P256" i="1" s="1"/>
  <c r="K112" i="1"/>
  <c r="N457" i="1"/>
  <c r="N456" i="1"/>
  <c r="N454" i="1"/>
  <c r="N455" i="1"/>
  <c r="K281" i="1"/>
  <c r="K622" i="1"/>
  <c r="K625" i="1" s="1"/>
  <c r="K705" i="1"/>
  <c r="R36" i="1"/>
  <c r="R45" i="1"/>
  <c r="R38" i="1"/>
  <c r="R235" i="1"/>
  <c r="R236" i="1"/>
  <c r="Q236" i="1"/>
  <c r="Q235" i="1"/>
  <c r="I456" i="1"/>
  <c r="I455" i="1"/>
  <c r="P932" i="1"/>
  <c r="P934" i="1" s="1"/>
  <c r="K912" i="1"/>
  <c r="K279" i="1"/>
  <c r="K323" i="1"/>
  <c r="K726" i="1"/>
  <c r="K590" i="1"/>
  <c r="R932" i="1"/>
  <c r="N932" i="1"/>
  <c r="L932" i="1"/>
  <c r="J932" i="1"/>
  <c r="H932" i="1"/>
  <c r="P912" i="1"/>
  <c r="F932" i="1"/>
  <c r="F934" i="1" s="1"/>
  <c r="K445" i="1"/>
  <c r="K455" i="1"/>
  <c r="K378" i="1"/>
  <c r="K457" i="1"/>
  <c r="K282" i="1"/>
  <c r="K325" i="1"/>
  <c r="P492" i="1"/>
  <c r="P502" i="1"/>
  <c r="K394" i="1"/>
  <c r="Q932" i="1"/>
  <c r="O932" i="1"/>
  <c r="M932" i="1"/>
  <c r="K932" i="1"/>
  <c r="K934" i="1" s="1"/>
  <c r="G932" i="1"/>
  <c r="I932" i="1"/>
  <c r="K278" i="1"/>
  <c r="P503" i="1"/>
  <c r="K876" i="1"/>
  <c r="K879" i="1" s="1"/>
  <c r="K591" i="1"/>
  <c r="K593" i="1"/>
  <c r="K612" i="1"/>
  <c r="P261" i="1"/>
  <c r="K387" i="1"/>
  <c r="K486" i="1"/>
  <c r="P263" i="1"/>
  <c r="K344" i="1"/>
  <c r="K500" i="1"/>
  <c r="K579" i="1"/>
  <c r="K581" i="1" s="1"/>
  <c r="K283" i="1"/>
  <c r="P501" i="1"/>
  <c r="P579" i="1"/>
  <c r="P581" i="1" s="1"/>
  <c r="K375" i="1"/>
  <c r="K381" i="1"/>
  <c r="P482" i="1"/>
  <c r="K355" i="1"/>
  <c r="K376" i="1"/>
  <c r="K308" i="1"/>
  <c r="K356" i="1"/>
  <c r="K492" i="1"/>
  <c r="K250" i="1"/>
  <c r="K254" i="1"/>
  <c r="K256" i="1" s="1"/>
  <c r="P264" i="1"/>
  <c r="P215" i="1"/>
  <c r="K349" i="1"/>
  <c r="K368" i="1"/>
  <c r="P485" i="1"/>
  <c r="P493" i="1"/>
  <c r="K528" i="1"/>
  <c r="P271" i="1"/>
  <c r="K551" i="1"/>
  <c r="P269" i="1"/>
  <c r="P267" i="1"/>
  <c r="K309" i="1"/>
  <c r="K504" i="1"/>
  <c r="K306" i="1"/>
  <c r="K377" i="1"/>
  <c r="K552" i="1"/>
  <c r="K347" i="1"/>
  <c r="K298" i="1"/>
  <c r="K481" i="1"/>
  <c r="P266" i="1"/>
  <c r="P265" i="1"/>
  <c r="P268" i="1"/>
  <c r="K483" i="1"/>
  <c r="P483" i="1"/>
  <c r="K547" i="1"/>
  <c r="K302" i="1"/>
  <c r="K194" i="1"/>
  <c r="K196" i="1" s="1"/>
  <c r="K247" i="1"/>
  <c r="P240" i="1"/>
  <c r="P242" i="1" s="1"/>
  <c r="K615" i="1"/>
  <c r="K353" i="1"/>
  <c r="K587" i="1"/>
  <c r="K362" i="1"/>
  <c r="K895" i="1"/>
  <c r="K899" i="1" s="1"/>
  <c r="K494" i="1"/>
  <c r="P212" i="1"/>
  <c r="K348" i="1"/>
  <c r="K415" i="1"/>
  <c r="K345" i="1"/>
  <c r="K858" i="1"/>
  <c r="K416" i="1"/>
  <c r="K358" i="1"/>
  <c r="K672" i="1"/>
  <c r="P213" i="1"/>
  <c r="P220" i="1"/>
  <c r="K315" i="1"/>
  <c r="K343" i="1"/>
  <c r="K464" i="1"/>
  <c r="K549" i="1"/>
  <c r="P216" i="1"/>
  <c r="K346" i="1"/>
  <c r="K822" i="1"/>
  <c r="K825" i="1" s="1"/>
  <c r="K522" i="1"/>
  <c r="P270" i="1"/>
  <c r="K342" i="1"/>
  <c r="K359" i="1"/>
  <c r="K396" i="1"/>
  <c r="K454" i="1"/>
  <c r="K560" i="1"/>
  <c r="K566" i="1"/>
  <c r="P481" i="1"/>
  <c r="P486" i="1"/>
  <c r="K568" i="1"/>
  <c r="K361" i="1"/>
  <c r="K589" i="1"/>
  <c r="K529" i="1"/>
  <c r="K354" i="1"/>
  <c r="K357" i="1"/>
  <c r="K379" i="1"/>
  <c r="K688" i="1"/>
  <c r="K600" i="1"/>
  <c r="K398" i="1"/>
  <c r="P820" i="1"/>
  <c r="P821" i="1"/>
  <c r="K290" i="1"/>
  <c r="K289" i="1"/>
  <c r="K292" i="1"/>
  <c r="K287" i="1"/>
  <c r="K788" i="1"/>
  <c r="K789" i="1"/>
  <c r="K475" i="1"/>
  <c r="K473" i="1"/>
  <c r="K476" i="1"/>
  <c r="K477" i="1"/>
  <c r="K471" i="1"/>
  <c r="K472" i="1"/>
  <c r="K371" i="1"/>
  <c r="K370" i="1"/>
  <c r="K366" i="1"/>
  <c r="K367" i="1"/>
  <c r="K133" i="1"/>
  <c r="K130" i="1"/>
  <c r="P832" i="1"/>
  <c r="P833" i="1"/>
  <c r="P829" i="1"/>
  <c r="P828" i="1"/>
  <c r="K446" i="1"/>
  <c r="K443" i="1"/>
  <c r="K456" i="1"/>
  <c r="K330" i="1"/>
  <c r="K334" i="1"/>
  <c r="P573" i="1"/>
  <c r="P574" i="1"/>
  <c r="K715" i="1"/>
  <c r="K716" i="1"/>
  <c r="P588" i="1"/>
  <c r="P587" i="1"/>
  <c r="P591" i="1"/>
  <c r="P586" i="1"/>
  <c r="P590" i="1"/>
  <c r="P593" i="1"/>
  <c r="P589" i="1"/>
  <c r="P592" i="1"/>
  <c r="K484" i="1"/>
  <c r="K482" i="1"/>
  <c r="K301" i="1"/>
  <c r="K300" i="1"/>
  <c r="K405" i="1"/>
  <c r="K463" i="1"/>
  <c r="K518" i="1"/>
  <c r="K432" i="1"/>
  <c r="K601" i="1"/>
  <c r="K605" i="1"/>
  <c r="K433" i="1"/>
  <c r="K423" i="1"/>
  <c r="K781" i="1"/>
  <c r="K843" i="1"/>
  <c r="K844" i="1"/>
  <c r="P808" i="1"/>
  <c r="P811" i="1"/>
  <c r="P809" i="1"/>
  <c r="K202" i="1"/>
  <c r="K610" i="1"/>
  <c r="K613" i="1"/>
  <c r="K611" i="1"/>
  <c r="K586" i="1"/>
  <c r="K592" i="1"/>
  <c r="P234" i="1"/>
  <c r="P235" i="1"/>
  <c r="P233" i="1"/>
  <c r="P236" i="1"/>
  <c r="K906" i="1"/>
  <c r="K905" i="1"/>
  <c r="K502" i="1"/>
  <c r="K503" i="1"/>
  <c r="K499" i="1"/>
  <c r="K390" i="1"/>
  <c r="K386" i="1"/>
  <c r="K389" i="1"/>
  <c r="K385" i="1"/>
  <c r="K639" i="1"/>
  <c r="K640" i="1"/>
  <c r="K538" i="1"/>
  <c r="K542" i="1"/>
  <c r="P223" i="1"/>
  <c r="K317" i="1"/>
  <c r="K435" i="1"/>
  <c r="K467" i="1"/>
  <c r="P822" i="1"/>
  <c r="P807" i="1"/>
  <c r="K746" i="1"/>
  <c r="K461" i="1"/>
  <c r="K599" i="1"/>
  <c r="K519" i="1"/>
  <c r="K438" i="1"/>
  <c r="K520" i="1"/>
  <c r="K436" i="1"/>
  <c r="K649" i="1"/>
  <c r="K650" i="1"/>
  <c r="K413" i="1"/>
  <c r="K886" i="1"/>
  <c r="K885" i="1"/>
  <c r="K573" i="1"/>
  <c r="K574" i="1"/>
  <c r="K406" i="1"/>
  <c r="K403" i="1"/>
  <c r="K407" i="1"/>
  <c r="K767" i="1"/>
  <c r="K766" i="1"/>
  <c r="K661" i="1"/>
  <c r="K660" i="1"/>
  <c r="K512" i="1"/>
  <c r="K513" i="1"/>
  <c r="K508" i="1"/>
  <c r="K510" i="1"/>
  <c r="K426" i="1"/>
  <c r="K427" i="1"/>
  <c r="K422" i="1"/>
  <c r="K424" i="1"/>
  <c r="P77" i="1"/>
  <c r="P76" i="1"/>
  <c r="K755" i="1"/>
  <c r="K756" i="1"/>
  <c r="P222" i="1"/>
  <c r="K316" i="1"/>
  <c r="K462" i="1"/>
  <c r="K521" i="1"/>
  <c r="P909" i="1"/>
  <c r="P817" i="1"/>
  <c r="K524" i="1"/>
  <c r="K465" i="1"/>
  <c r="K209" i="1"/>
  <c r="K434" i="1"/>
  <c r="K412" i="1"/>
  <c r="K99" i="1"/>
  <c r="P478" i="1"/>
  <c r="K163" i="1"/>
  <c r="K166" i="1"/>
  <c r="K61" i="1"/>
  <c r="K62" i="1"/>
  <c r="K66" i="1"/>
  <c r="K67" i="1"/>
  <c r="K86" i="1"/>
  <c r="K87" i="1"/>
  <c r="K71" i="1"/>
  <c r="K72" i="1"/>
  <c r="K123" i="1"/>
  <c r="K126" i="1"/>
  <c r="K117" i="1"/>
  <c r="K119" i="1"/>
  <c r="K149" i="1"/>
  <c r="K151" i="1"/>
  <c r="K137" i="1"/>
  <c r="K139" i="1"/>
  <c r="K54" i="1"/>
  <c r="K51" i="1"/>
  <c r="K155" i="1"/>
  <c r="K157" i="1"/>
  <c r="E16" i="20"/>
  <c r="H5" i="27"/>
  <c r="H6" i="27"/>
  <c r="H4" i="27"/>
  <c r="K814" i="1" l="1"/>
  <c r="K836" i="1"/>
  <c r="K190" i="1"/>
  <c r="K272" i="1"/>
  <c r="K184" i="1"/>
  <c r="K709" i="1"/>
  <c r="K739" i="1"/>
  <c r="P570" i="1"/>
  <c r="H7" i="27"/>
  <c r="F12" i="22" s="1"/>
  <c r="P190" i="1"/>
  <c r="K847" i="1"/>
  <c r="K889" i="1"/>
  <c r="P202" i="1"/>
  <c r="P196" i="1"/>
  <c r="K327" i="1"/>
  <c r="K114" i="1"/>
  <c r="P505" i="1"/>
  <c r="K749" i="1"/>
  <c r="K311" i="1"/>
  <c r="P496" i="1"/>
  <c r="K382" i="1"/>
  <c r="K496" i="1"/>
  <c r="K350" i="1"/>
  <c r="K561" i="1"/>
  <c r="K553" i="1"/>
  <c r="P272" i="1"/>
  <c r="K363" i="1"/>
  <c r="P487" i="1"/>
  <c r="K167" i="1"/>
  <c r="P78" i="1"/>
  <c r="K505" i="1"/>
  <c r="K803" i="1"/>
  <c r="K487" i="1"/>
  <c r="K792" i="1"/>
  <c r="P217" i="1"/>
  <c r="K319" i="1"/>
  <c r="K575" i="1"/>
  <c r="K699" i="1"/>
  <c r="K55" i="1"/>
  <c r="K409" i="1"/>
  <c r="P224" i="1"/>
  <c r="K616" i="1"/>
  <c r="P814" i="1"/>
  <c r="K400" i="1"/>
  <c r="K606" i="1"/>
  <c r="K337" i="1"/>
  <c r="K449" i="1"/>
  <c r="P836" i="1"/>
  <c r="K134" i="1"/>
  <c r="K372" i="1"/>
  <c r="K535" i="1"/>
  <c r="P575" i="1"/>
  <c r="K634" i="1"/>
  <c r="K127" i="1"/>
  <c r="K93" i="1"/>
  <c r="P825" i="1"/>
  <c r="K468" i="1"/>
  <c r="K429" i="1"/>
  <c r="K570" i="1"/>
  <c r="K458" i="1"/>
  <c r="K73" i="1"/>
  <c r="K68" i="1"/>
  <c r="K146" i="1"/>
  <c r="K759" i="1"/>
  <c r="K515" i="1"/>
  <c r="K770" i="1"/>
  <c r="K653" i="1"/>
  <c r="K594" i="1"/>
  <c r="K419" i="1"/>
  <c r="K643" i="1"/>
  <c r="K391" i="1"/>
  <c r="K303" i="1"/>
  <c r="P237" i="1"/>
  <c r="P594" i="1"/>
  <c r="K478" i="1"/>
  <c r="K439" i="1"/>
  <c r="K909" i="1"/>
  <c r="K293" i="1"/>
  <c r="K525" i="1"/>
  <c r="K160" i="1"/>
  <c r="K140" i="1"/>
  <c r="K120" i="1"/>
  <c r="K63" i="1"/>
  <c r="K666" i="1"/>
  <c r="K544" i="1"/>
  <c r="P46" i="1"/>
  <c r="K46" i="1"/>
  <c r="K152" i="1"/>
  <c r="E9" i="22"/>
  <c r="E12" i="22" s="1"/>
  <c r="G140" i="21"/>
  <c r="E942" i="1"/>
  <c r="E943" i="1"/>
  <c r="E945" i="1"/>
  <c r="E946" i="1"/>
  <c r="E948" i="1"/>
  <c r="E949" i="1"/>
  <c r="E950" i="1"/>
  <c r="E951" i="1"/>
  <c r="E952" i="1"/>
  <c r="E953" i="1"/>
  <c r="E954" i="1"/>
  <c r="E955" i="1"/>
  <c r="E956" i="1"/>
  <c r="E957" i="1"/>
  <c r="E958" i="1"/>
  <c r="E941" i="1"/>
  <c r="F941" i="1" s="1"/>
  <c r="G699" i="1"/>
  <c r="I699" i="1"/>
  <c r="J699" i="1"/>
  <c r="N699" i="1"/>
  <c r="O699" i="1"/>
  <c r="S699" i="1"/>
  <c r="T699" i="1"/>
  <c r="U699" i="1"/>
  <c r="F19" i="20" l="1"/>
  <c r="I544" i="1"/>
  <c r="M544" i="1"/>
  <c r="J544" i="1"/>
  <c r="L544" i="1"/>
  <c r="S917" i="1"/>
  <c r="T917" i="1"/>
  <c r="U917" i="1"/>
  <c r="S260" i="1" l="1"/>
  <c r="S579" i="1" s="1"/>
  <c r="T260" i="1"/>
  <c r="T579" i="1" s="1"/>
  <c r="U260" i="1"/>
  <c r="U579" i="1" s="1"/>
  <c r="G915" i="1"/>
  <c r="H915" i="1"/>
  <c r="I915" i="1"/>
  <c r="J915" i="1"/>
  <c r="L915" i="1"/>
  <c r="M915" i="1"/>
  <c r="N915" i="1"/>
  <c r="O915" i="1"/>
  <c r="Q915" i="1"/>
  <c r="R915" i="1"/>
  <c r="S249" i="1"/>
  <c r="T249" i="1"/>
  <c r="U249" i="1"/>
  <c r="S244" i="1"/>
  <c r="T244" i="1"/>
  <c r="U244" i="1"/>
  <c r="S239" i="1"/>
  <c r="T239" i="1"/>
  <c r="U239" i="1"/>
  <c r="S232" i="1"/>
  <c r="T232" i="1"/>
  <c r="U232" i="1"/>
  <c r="U226" i="1"/>
  <c r="S226" i="1"/>
  <c r="T226" i="1"/>
  <c r="S219" i="1"/>
  <c r="T219" i="1"/>
  <c r="U219" i="1"/>
  <c r="S211" i="1"/>
  <c r="T211" i="1"/>
  <c r="U211" i="1"/>
  <c r="S204" i="1"/>
  <c r="T204" i="1"/>
  <c r="U204" i="1"/>
  <c r="S198" i="1"/>
  <c r="T198" i="1"/>
  <c r="U198" i="1"/>
  <c r="S192" i="1"/>
  <c r="T192" i="1"/>
  <c r="U192" i="1"/>
  <c r="S186" i="1"/>
  <c r="T186" i="1"/>
  <c r="U186" i="1"/>
  <c r="S178" i="1"/>
  <c r="T178" i="1"/>
  <c r="U178" i="1"/>
  <c r="U169" i="1"/>
  <c r="S169" i="1"/>
  <c r="T169" i="1"/>
  <c r="S162" i="1"/>
  <c r="T162" i="1"/>
  <c r="U162" i="1"/>
  <c r="S154" i="1"/>
  <c r="T154" i="1"/>
  <c r="U154" i="1"/>
  <c r="S148" i="1"/>
  <c r="T148" i="1"/>
  <c r="U148" i="1"/>
  <c r="S142" i="1"/>
  <c r="T142" i="1"/>
  <c r="U142" i="1"/>
  <c r="S136" i="1"/>
  <c r="T136" i="1"/>
  <c r="U136" i="1"/>
  <c r="S129" i="1"/>
  <c r="T129" i="1"/>
  <c r="U129" i="1"/>
  <c r="S122" i="1"/>
  <c r="T122" i="1"/>
  <c r="U122" i="1"/>
  <c r="S116" i="1"/>
  <c r="T116" i="1"/>
  <c r="U116" i="1"/>
  <c r="S107" i="1"/>
  <c r="T107" i="1"/>
  <c r="U107" i="1"/>
  <c r="S101" i="1"/>
  <c r="T101" i="1"/>
  <c r="U101" i="1"/>
  <c r="S95" i="1"/>
  <c r="T95" i="1"/>
  <c r="U95" i="1"/>
  <c r="U80" i="1"/>
  <c r="S80" i="1"/>
  <c r="T80" i="1"/>
  <c r="S75" i="1"/>
  <c r="T75" i="1"/>
  <c r="U75" i="1"/>
  <c r="S70" i="1"/>
  <c r="T70" i="1"/>
  <c r="U70" i="1"/>
  <c r="S57" i="1"/>
  <c r="T57" i="1"/>
  <c r="U57" i="1"/>
  <c r="S65" i="1"/>
  <c r="T65" i="1"/>
  <c r="U65" i="1"/>
  <c r="G680" i="1"/>
  <c r="O881" i="1"/>
  <c r="S46" i="1"/>
  <c r="T46" i="1"/>
  <c r="U46" i="1"/>
  <c r="S30" i="1"/>
  <c r="U879" i="1"/>
  <c r="T879" i="1"/>
  <c r="S879" i="1"/>
  <c r="M879" i="1"/>
  <c r="L879" i="1"/>
  <c r="J879" i="1"/>
  <c r="I879" i="1"/>
  <c r="O296" i="1" l="1"/>
  <c r="O297" i="1"/>
  <c r="N550" i="1"/>
  <c r="N548" i="1"/>
  <c r="G335" i="1"/>
  <c r="G332" i="1"/>
  <c r="G336" i="1"/>
  <c r="G331" i="1"/>
  <c r="S254" i="1"/>
  <c r="T254" i="1"/>
  <c r="U254" i="1"/>
  <c r="R906" i="1"/>
  <c r="R908" i="1"/>
  <c r="R905" i="1"/>
  <c r="R907" i="1"/>
  <c r="H711" i="1"/>
  <c r="H721" i="1"/>
  <c r="N888" i="1"/>
  <c r="N886" i="1"/>
  <c r="N883" i="1"/>
  <c r="N885" i="1"/>
  <c r="N884" i="1"/>
  <c r="N882" i="1"/>
  <c r="M768" i="1"/>
  <c r="M764" i="1"/>
  <c r="M765" i="1"/>
  <c r="M766" i="1"/>
  <c r="M762" i="1"/>
  <c r="M767" i="1"/>
  <c r="M763" i="1"/>
  <c r="M769" i="1"/>
  <c r="L281" i="1"/>
  <c r="J725" i="1"/>
  <c r="Q90" i="1"/>
  <c r="F268" i="1"/>
  <c r="J188" i="1"/>
  <c r="Q891" i="1"/>
  <c r="G681" i="1"/>
  <c r="G687" i="1"/>
  <c r="G682" i="1"/>
  <c r="G684" i="1"/>
  <c r="G685" i="1"/>
  <c r="G683" i="1"/>
  <c r="O885" i="1"/>
  <c r="O884" i="1"/>
  <c r="O883" i="1"/>
  <c r="O882" i="1"/>
  <c r="O886" i="1"/>
  <c r="H119" i="1"/>
  <c r="H118" i="1"/>
  <c r="M59" i="1"/>
  <c r="M58" i="1"/>
  <c r="M62" i="1"/>
  <c r="M61" i="1"/>
  <c r="M60" i="1"/>
  <c r="M281" i="1"/>
  <c r="Q91" i="1"/>
  <c r="Q87" i="1"/>
  <c r="Q279" i="1"/>
  <c r="Q282" i="1"/>
  <c r="Q278" i="1"/>
  <c r="Q283" i="1"/>
  <c r="Q280" i="1"/>
  <c r="Q281" i="1"/>
  <c r="G333" i="1"/>
  <c r="G330" i="1"/>
  <c r="G334" i="1"/>
  <c r="Q731" i="1"/>
  <c r="Q871" i="1"/>
  <c r="Q860" i="1"/>
  <c r="Q721" i="1"/>
  <c r="L711" i="1"/>
  <c r="L690" i="1"/>
  <c r="L723" i="1"/>
  <c r="L701" i="1"/>
  <c r="G711" i="1"/>
  <c r="G713" i="1" s="1"/>
  <c r="I299" i="1"/>
  <c r="I300" i="1"/>
  <c r="I302" i="1"/>
  <c r="I298" i="1"/>
  <c r="I301" i="1"/>
  <c r="R860" i="1"/>
  <c r="R731" i="1"/>
  <c r="R891" i="1"/>
  <c r="R871" i="1"/>
  <c r="R721" i="1"/>
  <c r="M912" i="1"/>
  <c r="M711" i="1"/>
  <c r="M725" i="1"/>
  <c r="Q151" i="1"/>
  <c r="O299" i="1"/>
  <c r="O300" i="1"/>
  <c r="O301" i="1"/>
  <c r="O302" i="1"/>
  <c r="O298" i="1"/>
  <c r="J309" i="1"/>
  <c r="J308" i="1"/>
  <c r="J306" i="1"/>
  <c r="F772" i="1"/>
  <c r="F783" i="1"/>
  <c r="N871" i="1"/>
  <c r="I608" i="1"/>
  <c r="H195" i="1"/>
  <c r="Q214" i="1"/>
  <c r="M205" i="1"/>
  <c r="R200" i="1"/>
  <c r="H229" i="1"/>
  <c r="H230" i="1" s="1"/>
  <c r="Q188" i="1"/>
  <c r="R172" i="1"/>
  <c r="J246" i="1"/>
  <c r="R139" i="1"/>
  <c r="Q112" i="1"/>
  <c r="R104" i="1"/>
  <c r="H849" i="1"/>
  <c r="H381" i="1"/>
  <c r="G901" i="1"/>
  <c r="G860" i="1"/>
  <c r="G849" i="1"/>
  <c r="G794" i="1"/>
  <c r="G645" i="1"/>
  <c r="G816" i="1"/>
  <c r="G891" i="1"/>
  <c r="G827" i="1"/>
  <c r="G598" i="1"/>
  <c r="G871" i="1"/>
  <c r="G805" i="1"/>
  <c r="G783" i="1"/>
  <c r="G656" i="1"/>
  <c r="G585" i="1"/>
  <c r="H250" i="1"/>
  <c r="Q246" i="1"/>
  <c r="Q194" i="1"/>
  <c r="Q166" i="1"/>
  <c r="Q133" i="1"/>
  <c r="R133" i="1"/>
  <c r="R166" i="1"/>
  <c r="R194" i="1"/>
  <c r="R246" i="1"/>
  <c r="L838" i="1"/>
  <c r="L608" i="1"/>
  <c r="L741" i="1"/>
  <c r="L585" i="1"/>
  <c r="L860" i="1"/>
  <c r="L783" i="1"/>
  <c r="L598" i="1"/>
  <c r="M783" i="1"/>
  <c r="M701" i="1"/>
  <c r="M598" i="1"/>
  <c r="M585" i="1"/>
  <c r="M860" i="1"/>
  <c r="M838" i="1"/>
  <c r="M772" i="1"/>
  <c r="M690" i="1"/>
  <c r="M608" i="1"/>
  <c r="M849" i="1"/>
  <c r="M741" i="1"/>
  <c r="F871" i="1"/>
  <c r="F656" i="1"/>
  <c r="F891" i="1"/>
  <c r="F794" i="1"/>
  <c r="F645" i="1"/>
  <c r="F901" i="1"/>
  <c r="F816" i="1"/>
  <c r="F680" i="1"/>
  <c r="F598" i="1"/>
  <c r="F860" i="1"/>
  <c r="F585" i="1"/>
  <c r="N585" i="1"/>
  <c r="N598" i="1"/>
  <c r="I585" i="1"/>
  <c r="O254" i="1"/>
  <c r="Q200" i="1"/>
  <c r="Q172" i="1"/>
  <c r="Q139" i="1"/>
  <c r="Q119" i="1"/>
  <c r="R119" i="1"/>
  <c r="R151" i="1"/>
  <c r="R188" i="1"/>
  <c r="R214" i="1"/>
  <c r="G65" i="1"/>
  <c r="R433" i="1"/>
  <c r="R381" i="1"/>
  <c r="Q816" i="1"/>
  <c r="Q668" i="1"/>
  <c r="Q627" i="1"/>
  <c r="Q794" i="1"/>
  <c r="Q645" i="1"/>
  <c r="Q805" i="1"/>
  <c r="Q741" i="1"/>
  <c r="Q656" i="1"/>
  <c r="Q827" i="1"/>
  <c r="Q783" i="1"/>
  <c r="Q701" i="1"/>
  <c r="Q680" i="1"/>
  <c r="Q585" i="1"/>
  <c r="Q772" i="1"/>
  <c r="Q751" i="1"/>
  <c r="Q690" i="1"/>
  <c r="Q608" i="1"/>
  <c r="R805" i="1"/>
  <c r="R741" i="1"/>
  <c r="R656" i="1"/>
  <c r="R585" i="1"/>
  <c r="R827" i="1"/>
  <c r="R680" i="1"/>
  <c r="R772" i="1"/>
  <c r="R751" i="1"/>
  <c r="R690" i="1"/>
  <c r="R608" i="1"/>
  <c r="R816" i="1"/>
  <c r="R668" i="1"/>
  <c r="R627" i="1"/>
  <c r="R783" i="1"/>
  <c r="R701" i="1"/>
  <c r="R794" i="1"/>
  <c r="R645" i="1"/>
  <c r="H891" i="1"/>
  <c r="H761" i="1"/>
  <c r="H741" i="1"/>
  <c r="H680" i="1"/>
  <c r="H618" i="1"/>
  <c r="H598" i="1"/>
  <c r="H585" i="1"/>
  <c r="H783" i="1"/>
  <c r="H636" i="1"/>
  <c r="H881" i="1"/>
  <c r="H860" i="1"/>
  <c r="H645" i="1"/>
  <c r="H608" i="1"/>
  <c r="H871" i="1"/>
  <c r="H656" i="1"/>
  <c r="H838" i="1"/>
  <c r="H772" i="1"/>
  <c r="H751" i="1"/>
  <c r="H668" i="1"/>
  <c r="Q381" i="1"/>
  <c r="Q433" i="1"/>
  <c r="L381" i="1"/>
  <c r="O871" i="1"/>
  <c r="O598" i="1"/>
  <c r="O585" i="1"/>
  <c r="O912" i="1"/>
  <c r="J585" i="1"/>
  <c r="J608" i="1"/>
  <c r="H240" i="1"/>
  <c r="M215" i="1"/>
  <c r="Q206" i="1"/>
  <c r="Q181" i="1"/>
  <c r="Q104" i="1"/>
  <c r="R112" i="1"/>
  <c r="R181" i="1"/>
  <c r="R206" i="1"/>
  <c r="F65" i="1"/>
  <c r="F254" i="1" s="1"/>
  <c r="F256" i="1" s="1"/>
  <c r="H236" i="1"/>
  <c r="H207" i="1"/>
  <c r="I224" i="1"/>
  <c r="J224" i="1"/>
  <c r="S224" i="1"/>
  <c r="T224" i="1"/>
  <c r="U224" i="1"/>
  <c r="T230" i="1"/>
  <c r="I230" i="1"/>
  <c r="J230" i="1"/>
  <c r="L230" i="1"/>
  <c r="M230" i="1"/>
  <c r="S230" i="1"/>
  <c r="U230" i="1"/>
  <c r="F146" i="1"/>
  <c r="G146" i="1"/>
  <c r="I146" i="1"/>
  <c r="J146" i="1"/>
  <c r="N146" i="1"/>
  <c r="O146" i="1"/>
  <c r="S146" i="1"/>
  <c r="T146" i="1"/>
  <c r="F917" i="1" l="1"/>
  <c r="I579" i="1"/>
  <c r="I581" i="1" s="1"/>
  <c r="G829" i="1"/>
  <c r="G830" i="1"/>
  <c r="L452" i="1"/>
  <c r="L453" i="1"/>
  <c r="O541" i="1"/>
  <c r="O539" i="1"/>
  <c r="H556" i="1"/>
  <c r="H557" i="1"/>
  <c r="H559" i="1"/>
  <c r="H550" i="1"/>
  <c r="H548" i="1"/>
  <c r="L291" i="1"/>
  <c r="L288" i="1"/>
  <c r="F541" i="1"/>
  <c r="F539" i="1"/>
  <c r="O550" i="1"/>
  <c r="O548" i="1"/>
  <c r="M532" i="1"/>
  <c r="M530" i="1"/>
  <c r="M534" i="1"/>
  <c r="N418" i="1"/>
  <c r="N414" i="1"/>
  <c r="H453" i="1"/>
  <c r="H452" i="1"/>
  <c r="H395" i="1"/>
  <c r="H399" i="1"/>
  <c r="Q511" i="1"/>
  <c r="Q509" i="1"/>
  <c r="R318" i="1"/>
  <c r="R314" i="1"/>
  <c r="G557" i="1"/>
  <c r="G559" i="1"/>
  <c r="G556" i="1"/>
  <c r="H322" i="1"/>
  <c r="H326" i="1"/>
  <c r="J297" i="1"/>
  <c r="J296" i="1"/>
  <c r="Q399" i="1"/>
  <c r="Q395" i="1"/>
  <c r="F490" i="1"/>
  <c r="F491" i="1"/>
  <c r="F495" i="1"/>
  <c r="O418" i="1"/>
  <c r="O414" i="1"/>
  <c r="M448" i="1"/>
  <c r="M442" i="1"/>
  <c r="M447" i="1"/>
  <c r="M444" i="1"/>
  <c r="N541" i="1"/>
  <c r="N539" i="1"/>
  <c r="H418" i="1"/>
  <c r="H414" i="1"/>
  <c r="Q541" i="1"/>
  <c r="Q539" i="1"/>
  <c r="Q452" i="1"/>
  <c r="Q453" i="1"/>
  <c r="M511" i="1"/>
  <c r="M509" i="1"/>
  <c r="Q296" i="1"/>
  <c r="Q297" i="1"/>
  <c r="Q404" i="1"/>
  <c r="Q408" i="1"/>
  <c r="F559" i="1"/>
  <c r="F556" i="1"/>
  <c r="F557" i="1"/>
  <c r="R452" i="1"/>
  <c r="R453" i="1"/>
  <c r="H307" i="1"/>
  <c r="H310" i="1"/>
  <c r="H297" i="1"/>
  <c r="H296" i="1"/>
  <c r="Q318" i="1"/>
  <c r="Q314" i="1"/>
  <c r="M296" i="1"/>
  <c r="M297" i="1"/>
  <c r="G491" i="1"/>
  <c r="G495" i="1"/>
  <c r="G490" i="1"/>
  <c r="Q556" i="1"/>
  <c r="Q557" i="1"/>
  <c r="Q559" i="1"/>
  <c r="R404" i="1"/>
  <c r="R408" i="1"/>
  <c r="M850" i="1"/>
  <c r="M851" i="1"/>
  <c r="H288" i="1"/>
  <c r="H291" i="1"/>
  <c r="H490" i="1"/>
  <c r="H491" i="1"/>
  <c r="H495" i="1"/>
  <c r="H852" i="1"/>
  <c r="H850" i="1"/>
  <c r="J291" i="1"/>
  <c r="J288" i="1"/>
  <c r="R511" i="1"/>
  <c r="R509" i="1"/>
  <c r="R557" i="1"/>
  <c r="R556" i="1"/>
  <c r="R559" i="1"/>
  <c r="G530" i="1"/>
  <c r="G532" i="1"/>
  <c r="G534" i="1"/>
  <c r="G550" i="1"/>
  <c r="G548" i="1"/>
  <c r="F534" i="1"/>
  <c r="F530" i="1"/>
  <c r="F532" i="1"/>
  <c r="J567" i="1"/>
  <c r="J569" i="1"/>
  <c r="J565" i="1"/>
  <c r="H511" i="1"/>
  <c r="H509" i="1"/>
  <c r="H447" i="1"/>
  <c r="H444" i="1"/>
  <c r="H442" i="1"/>
  <c r="H448" i="1"/>
  <c r="R490" i="1"/>
  <c r="R495" i="1"/>
  <c r="R491" i="1"/>
  <c r="G541" i="1"/>
  <c r="G539" i="1"/>
  <c r="H314" i="1"/>
  <c r="H318" i="1"/>
  <c r="L296" i="1"/>
  <c r="L297" i="1"/>
  <c r="R297" i="1"/>
  <c r="R296" i="1"/>
  <c r="R399" i="1"/>
  <c r="R395" i="1"/>
  <c r="G291" i="1"/>
  <c r="G288" i="1"/>
  <c r="H335" i="1"/>
  <c r="H332" i="1"/>
  <c r="H336" i="1"/>
  <c r="H331" i="1"/>
  <c r="H404" i="1"/>
  <c r="H408" i="1"/>
  <c r="H541" i="1"/>
  <c r="H539" i="1"/>
  <c r="Q491" i="1"/>
  <c r="Q495" i="1"/>
  <c r="Q490" i="1"/>
  <c r="R541" i="1"/>
  <c r="R539" i="1"/>
  <c r="F919" i="1"/>
  <c r="I917" i="1"/>
  <c r="L716" i="1"/>
  <c r="L717" i="1"/>
  <c r="R558" i="1"/>
  <c r="L280" i="1"/>
  <c r="R917" i="1"/>
  <c r="I713" i="1"/>
  <c r="I712" i="1"/>
  <c r="I718" i="1"/>
  <c r="I716" i="1"/>
  <c r="I715" i="1"/>
  <c r="Q917" i="1"/>
  <c r="M917" i="1"/>
  <c r="L917" i="1"/>
  <c r="G912" i="1"/>
  <c r="G917" i="1"/>
  <c r="J912" i="1"/>
  <c r="J917" i="1"/>
  <c r="H912" i="1"/>
  <c r="H917" i="1"/>
  <c r="N579" i="1"/>
  <c r="J722" i="1"/>
  <c r="G647" i="1"/>
  <c r="G649" i="1"/>
  <c r="J726" i="1"/>
  <c r="M579" i="1"/>
  <c r="L579" i="1"/>
  <c r="R579" i="1"/>
  <c r="O579" i="1"/>
  <c r="L282" i="1"/>
  <c r="H579" i="1"/>
  <c r="G579" i="1"/>
  <c r="L278" i="1"/>
  <c r="J254" i="1"/>
  <c r="M254" i="1"/>
  <c r="M280" i="1"/>
  <c r="Q254" i="1"/>
  <c r="H256" i="1"/>
  <c r="R254" i="1"/>
  <c r="N254" i="1"/>
  <c r="L254" i="1"/>
  <c r="G254" i="1"/>
  <c r="G256" i="1" s="1"/>
  <c r="L283" i="1"/>
  <c r="L279" i="1"/>
  <c r="M282" i="1"/>
  <c r="H245" i="1"/>
  <c r="Q86" i="1"/>
  <c r="Q93" i="1" s="1"/>
  <c r="R241" i="1"/>
  <c r="Q241" i="1"/>
  <c r="J250" i="1"/>
  <c r="R560" i="1"/>
  <c r="M283" i="1"/>
  <c r="J724" i="1"/>
  <c r="F270" i="1"/>
  <c r="J728" i="1"/>
  <c r="J723" i="1"/>
  <c r="F262" i="1"/>
  <c r="F269" i="1"/>
  <c r="I108" i="1"/>
  <c r="I112" i="1"/>
  <c r="G188" i="1"/>
  <c r="G189" i="1"/>
  <c r="G187" i="1"/>
  <c r="Q897" i="1"/>
  <c r="Q895" i="1"/>
  <c r="Q896" i="1"/>
  <c r="Q898" i="1"/>
  <c r="J629" i="1"/>
  <c r="J630" i="1"/>
  <c r="J628" i="1"/>
  <c r="J631" i="1"/>
  <c r="J633" i="1"/>
  <c r="N215" i="1"/>
  <c r="N212" i="1"/>
  <c r="N214" i="1"/>
  <c r="N213" i="1"/>
  <c r="N216" i="1"/>
  <c r="F234" i="1"/>
  <c r="F235" i="1"/>
  <c r="F236" i="1"/>
  <c r="F233" i="1"/>
  <c r="I630" i="1"/>
  <c r="I633" i="1"/>
  <c r="I631" i="1"/>
  <c r="I629" i="1"/>
  <c r="I628" i="1"/>
  <c r="G216" i="1"/>
  <c r="G214" i="1"/>
  <c r="G212" i="1"/>
  <c r="G215" i="1"/>
  <c r="G213" i="1"/>
  <c r="H712" i="1"/>
  <c r="H713" i="1"/>
  <c r="F271" i="1"/>
  <c r="F263" i="1"/>
  <c r="Q907" i="1"/>
  <c r="Q906" i="1"/>
  <c r="Q905" i="1"/>
  <c r="Q908" i="1"/>
  <c r="N233" i="1"/>
  <c r="N236" i="1"/>
  <c r="N234" i="1"/>
  <c r="N235" i="1"/>
  <c r="L222" i="1"/>
  <c r="L220" i="1"/>
  <c r="L223" i="1"/>
  <c r="L221" i="1"/>
  <c r="N207" i="1"/>
  <c r="N208" i="1"/>
  <c r="N205" i="1"/>
  <c r="N206" i="1"/>
  <c r="G183" i="1"/>
  <c r="G182" i="1"/>
  <c r="G180" i="1"/>
  <c r="G179" i="1"/>
  <c r="G181" i="1"/>
  <c r="R77" i="1"/>
  <c r="R76" i="1"/>
  <c r="F266" i="1"/>
  <c r="F267" i="1"/>
  <c r="F264" i="1"/>
  <c r="F180" i="1"/>
  <c r="F183" i="1"/>
  <c r="F182" i="1"/>
  <c r="F181" i="1"/>
  <c r="F179" i="1"/>
  <c r="G245" i="1"/>
  <c r="G246" i="1"/>
  <c r="Q77" i="1"/>
  <c r="Q76" i="1"/>
  <c r="I77" i="1"/>
  <c r="I76" i="1"/>
  <c r="N227" i="1"/>
  <c r="N229" i="1"/>
  <c r="N228" i="1"/>
  <c r="F187" i="1"/>
  <c r="F189" i="1"/>
  <c r="F188" i="1"/>
  <c r="H722" i="1"/>
  <c r="H723" i="1"/>
  <c r="F265" i="1"/>
  <c r="J703" i="1"/>
  <c r="J705" i="1"/>
  <c r="J702" i="1"/>
  <c r="J706" i="1"/>
  <c r="J708" i="1"/>
  <c r="J704" i="1"/>
  <c r="H752" i="1"/>
  <c r="H753" i="1"/>
  <c r="H902" i="1"/>
  <c r="H903" i="1"/>
  <c r="H892" i="1"/>
  <c r="H893" i="1"/>
  <c r="R757" i="1"/>
  <c r="R756" i="1"/>
  <c r="R755" i="1"/>
  <c r="R758" i="1"/>
  <c r="Q856" i="1"/>
  <c r="Q855" i="1"/>
  <c r="Q854" i="1"/>
  <c r="Q857" i="1"/>
  <c r="F851" i="1"/>
  <c r="F854" i="1"/>
  <c r="F855" i="1"/>
  <c r="F852" i="1"/>
  <c r="F857" i="1"/>
  <c r="F850" i="1"/>
  <c r="F853" i="1"/>
  <c r="F806" i="1"/>
  <c r="F813" i="1"/>
  <c r="F810" i="1"/>
  <c r="F809" i="1"/>
  <c r="F811" i="1"/>
  <c r="F808" i="1"/>
  <c r="F807" i="1"/>
  <c r="M861" i="1"/>
  <c r="M863" i="1"/>
  <c r="L612" i="1"/>
  <c r="L611" i="1"/>
  <c r="L609" i="1"/>
  <c r="L610" i="1"/>
  <c r="L613" i="1"/>
  <c r="L615" i="1"/>
  <c r="G896" i="1"/>
  <c r="G895" i="1"/>
  <c r="G894" i="1"/>
  <c r="G893" i="1"/>
  <c r="G898" i="1"/>
  <c r="G892" i="1"/>
  <c r="N878" i="1"/>
  <c r="N872" i="1"/>
  <c r="N876" i="1"/>
  <c r="N875" i="1"/>
  <c r="N874" i="1"/>
  <c r="N873" i="1"/>
  <c r="R898" i="1"/>
  <c r="R897" i="1"/>
  <c r="R896" i="1"/>
  <c r="R895" i="1"/>
  <c r="L718" i="1"/>
  <c r="L712" i="1"/>
  <c r="L715" i="1"/>
  <c r="L713" i="1"/>
  <c r="L714" i="1"/>
  <c r="J76" i="1"/>
  <c r="J77" i="1"/>
  <c r="G228" i="1"/>
  <c r="G229" i="1"/>
  <c r="G227" i="1"/>
  <c r="G194" i="1"/>
  <c r="G195" i="1"/>
  <c r="G193" i="1"/>
  <c r="N222" i="1"/>
  <c r="N223" i="1"/>
  <c r="N221" i="1"/>
  <c r="N220" i="1"/>
  <c r="J611" i="1"/>
  <c r="J612" i="1"/>
  <c r="J615" i="1"/>
  <c r="J610" i="1"/>
  <c r="J609" i="1"/>
  <c r="J613" i="1"/>
  <c r="J621" i="1"/>
  <c r="J622" i="1"/>
  <c r="J620" i="1"/>
  <c r="J619" i="1"/>
  <c r="J624" i="1"/>
  <c r="O587" i="1"/>
  <c r="O590" i="1"/>
  <c r="O593" i="1"/>
  <c r="O586" i="1"/>
  <c r="O592" i="1"/>
  <c r="O588" i="1"/>
  <c r="O591" i="1"/>
  <c r="O589" i="1"/>
  <c r="O854" i="1"/>
  <c r="O851" i="1"/>
  <c r="O857" i="1"/>
  <c r="O850" i="1"/>
  <c r="O852" i="1"/>
  <c r="O855" i="1"/>
  <c r="O853" i="1"/>
  <c r="H839" i="1"/>
  <c r="H840" i="1"/>
  <c r="H611" i="1"/>
  <c r="H613" i="1"/>
  <c r="H612" i="1"/>
  <c r="H615" i="1"/>
  <c r="H609" i="1"/>
  <c r="H610" i="1"/>
  <c r="H861" i="1"/>
  <c r="H862" i="1"/>
  <c r="H784" i="1"/>
  <c r="H785" i="1"/>
  <c r="H682" i="1"/>
  <c r="H683" i="1"/>
  <c r="H829" i="1"/>
  <c r="H830" i="1"/>
  <c r="R638" i="1"/>
  <c r="R640" i="1"/>
  <c r="R642" i="1"/>
  <c r="R641" i="1"/>
  <c r="R639" i="1"/>
  <c r="R637" i="1"/>
  <c r="R670" i="1"/>
  <c r="R677" i="1"/>
  <c r="R676" i="1"/>
  <c r="R675" i="1"/>
  <c r="R672" i="1"/>
  <c r="R674" i="1"/>
  <c r="R673" i="1"/>
  <c r="R669" i="1"/>
  <c r="R671" i="1"/>
  <c r="R697" i="1"/>
  <c r="R696" i="1"/>
  <c r="R695" i="1"/>
  <c r="R694" i="1"/>
  <c r="R698" i="1"/>
  <c r="R693" i="1"/>
  <c r="R835" i="1"/>
  <c r="R834" i="1"/>
  <c r="R833" i="1"/>
  <c r="R832" i="1"/>
  <c r="R619" i="1"/>
  <c r="R623" i="1"/>
  <c r="R624" i="1"/>
  <c r="R621" i="1"/>
  <c r="R620" i="1"/>
  <c r="R622" i="1"/>
  <c r="Q695" i="1"/>
  <c r="Q694" i="1"/>
  <c r="Q698" i="1"/>
  <c r="Q696" i="1"/>
  <c r="Q697" i="1"/>
  <c r="Q693" i="1"/>
  <c r="Q637" i="1"/>
  <c r="Q639" i="1"/>
  <c r="Q641" i="1"/>
  <c r="Q638" i="1"/>
  <c r="Q640" i="1"/>
  <c r="Q642" i="1"/>
  <c r="Q834" i="1"/>
  <c r="Q833" i="1"/>
  <c r="Q835" i="1"/>
  <c r="Q832" i="1"/>
  <c r="Q747" i="1"/>
  <c r="Q743" i="1"/>
  <c r="Q745" i="1"/>
  <c r="Q742" i="1"/>
  <c r="Q748" i="1"/>
  <c r="Q746" i="1"/>
  <c r="Q629" i="1"/>
  <c r="Q630" i="1"/>
  <c r="Q632" i="1"/>
  <c r="Q628" i="1"/>
  <c r="Q631" i="1"/>
  <c r="Q633" i="1"/>
  <c r="O234" i="1"/>
  <c r="O235" i="1"/>
  <c r="O233" i="1"/>
  <c r="O236" i="1"/>
  <c r="I639" i="1"/>
  <c r="I637" i="1"/>
  <c r="I638" i="1"/>
  <c r="I642" i="1"/>
  <c r="I640" i="1"/>
  <c r="N600" i="1"/>
  <c r="N602" i="1"/>
  <c r="N601" i="1"/>
  <c r="N599" i="1"/>
  <c r="N603" i="1"/>
  <c r="N605" i="1"/>
  <c r="F586" i="1"/>
  <c r="F592" i="1"/>
  <c r="F593" i="1"/>
  <c r="F589" i="1"/>
  <c r="F590" i="1"/>
  <c r="F587" i="1"/>
  <c r="F591" i="1"/>
  <c r="F588" i="1"/>
  <c r="F684" i="1"/>
  <c r="F681" i="1"/>
  <c r="F685" i="1"/>
  <c r="F683" i="1"/>
  <c r="F682" i="1"/>
  <c r="F687" i="1"/>
  <c r="F908" i="1"/>
  <c r="F902" i="1"/>
  <c r="F905" i="1"/>
  <c r="F906" i="1"/>
  <c r="F904" i="1"/>
  <c r="F903" i="1"/>
  <c r="F665" i="1"/>
  <c r="F660" i="1"/>
  <c r="F661" i="1"/>
  <c r="F657" i="1"/>
  <c r="F662" i="1"/>
  <c r="F658" i="1"/>
  <c r="F659" i="1"/>
  <c r="F663" i="1"/>
  <c r="M609" i="1"/>
  <c r="M610" i="1"/>
  <c r="M613" i="1"/>
  <c r="M615" i="1"/>
  <c r="M611" i="1"/>
  <c r="M612" i="1"/>
  <c r="M844" i="1"/>
  <c r="M839" i="1"/>
  <c r="M840" i="1"/>
  <c r="M842" i="1"/>
  <c r="M843" i="1"/>
  <c r="M705" i="1"/>
  <c r="M702" i="1"/>
  <c r="M706" i="1"/>
  <c r="M708" i="1"/>
  <c r="M704" i="1"/>
  <c r="M703" i="1"/>
  <c r="L591" i="1"/>
  <c r="L588" i="1"/>
  <c r="L587" i="1"/>
  <c r="L589" i="1"/>
  <c r="L586" i="1"/>
  <c r="L592" i="1"/>
  <c r="L590" i="1"/>
  <c r="L593" i="1"/>
  <c r="L734" i="1"/>
  <c r="L738" i="1"/>
  <c r="L732" i="1"/>
  <c r="L736" i="1"/>
  <c r="L735" i="1"/>
  <c r="L733" i="1"/>
  <c r="L841" i="1"/>
  <c r="L839" i="1"/>
  <c r="L843" i="1"/>
  <c r="L846" i="1"/>
  <c r="L840" i="1"/>
  <c r="L844" i="1"/>
  <c r="Q221" i="1"/>
  <c r="Q224" i="1" s="1"/>
  <c r="H220" i="1"/>
  <c r="H224" i="1" s="1"/>
  <c r="G785" i="1"/>
  <c r="G789" i="1"/>
  <c r="G791" i="1"/>
  <c r="G788" i="1"/>
  <c r="G787" i="1"/>
  <c r="G784" i="1"/>
  <c r="G786" i="1"/>
  <c r="G828" i="1"/>
  <c r="G835" i="1"/>
  <c r="G832" i="1"/>
  <c r="G833" i="1"/>
  <c r="G821" i="1"/>
  <c r="G824" i="1"/>
  <c r="G822" i="1"/>
  <c r="G820" i="1"/>
  <c r="G818" i="1"/>
  <c r="G819" i="1"/>
  <c r="G817" i="1"/>
  <c r="G862" i="1"/>
  <c r="G861" i="1"/>
  <c r="G866" i="1"/>
  <c r="G865" i="1"/>
  <c r="G863" i="1"/>
  <c r="R228" i="1"/>
  <c r="R230" i="1" s="1"/>
  <c r="O207" i="1"/>
  <c r="O206" i="1"/>
  <c r="O208" i="1"/>
  <c r="O205" i="1"/>
  <c r="N840" i="1"/>
  <c r="N841" i="1"/>
  <c r="N839" i="1"/>
  <c r="N843" i="1"/>
  <c r="N846" i="1"/>
  <c r="N844" i="1"/>
  <c r="N842" i="1"/>
  <c r="F885" i="1"/>
  <c r="F884" i="1"/>
  <c r="F886" i="1"/>
  <c r="F883" i="1"/>
  <c r="F882" i="1"/>
  <c r="F887" i="1"/>
  <c r="M715" i="1"/>
  <c r="M714" i="1"/>
  <c r="M713" i="1"/>
  <c r="M718" i="1"/>
  <c r="M716" i="1"/>
  <c r="M712" i="1"/>
  <c r="R878" i="1"/>
  <c r="R877" i="1"/>
  <c r="R876" i="1"/>
  <c r="R875" i="1"/>
  <c r="L694" i="1"/>
  <c r="L697" i="1"/>
  <c r="L695" i="1"/>
  <c r="L696" i="1"/>
  <c r="L692" i="1"/>
  <c r="L691" i="1"/>
  <c r="L693" i="1"/>
  <c r="Q878" i="1"/>
  <c r="Q877" i="1"/>
  <c r="Q876" i="1"/>
  <c r="Q875" i="1"/>
  <c r="G201" i="1"/>
  <c r="G200" i="1"/>
  <c r="G199" i="1"/>
  <c r="F245" i="1"/>
  <c r="F246" i="1"/>
  <c r="O600" i="1"/>
  <c r="O602" i="1"/>
  <c r="O599" i="1"/>
  <c r="O601" i="1"/>
  <c r="O603" i="1"/>
  <c r="O605" i="1"/>
  <c r="H646" i="1"/>
  <c r="H647" i="1"/>
  <c r="R821" i="1"/>
  <c r="R824" i="1"/>
  <c r="R823" i="1"/>
  <c r="R822" i="1"/>
  <c r="R665" i="1"/>
  <c r="R661" i="1"/>
  <c r="R660" i="1"/>
  <c r="R657" i="1"/>
  <c r="R658" i="1"/>
  <c r="R663" i="1"/>
  <c r="R662" i="1"/>
  <c r="R664" i="1"/>
  <c r="Q682" i="1"/>
  <c r="Q687" i="1"/>
  <c r="Q686" i="1"/>
  <c r="Q685" i="1"/>
  <c r="Q684" i="1"/>
  <c r="Q681" i="1"/>
  <c r="Q683" i="1"/>
  <c r="Q672" i="1"/>
  <c r="Q674" i="1"/>
  <c r="Q677" i="1"/>
  <c r="Q671" i="1"/>
  <c r="Q673" i="1"/>
  <c r="Q670" i="1"/>
  <c r="Q669" i="1"/>
  <c r="Q675" i="1"/>
  <c r="Q676" i="1"/>
  <c r="O222" i="1"/>
  <c r="O221" i="1"/>
  <c r="O223" i="1"/>
  <c r="O220" i="1"/>
  <c r="I605" i="1"/>
  <c r="I600" i="1"/>
  <c r="I602" i="1"/>
  <c r="I601" i="1"/>
  <c r="I599" i="1"/>
  <c r="I603" i="1"/>
  <c r="F650" i="1"/>
  <c r="F649" i="1"/>
  <c r="F648" i="1"/>
  <c r="F652" i="1"/>
  <c r="F646" i="1"/>
  <c r="F647" i="1"/>
  <c r="M784" i="1"/>
  <c r="M786" i="1"/>
  <c r="G808" i="1"/>
  <c r="G811" i="1"/>
  <c r="G810" i="1"/>
  <c r="G809" i="1"/>
  <c r="G807" i="1"/>
  <c r="G813" i="1"/>
  <c r="G806" i="1"/>
  <c r="G904" i="1"/>
  <c r="G903" i="1"/>
  <c r="G908" i="1"/>
  <c r="G902" i="1"/>
  <c r="G905" i="1"/>
  <c r="G906" i="1"/>
  <c r="F773" i="1"/>
  <c r="F774" i="1"/>
  <c r="M733" i="1"/>
  <c r="M736" i="1"/>
  <c r="M734" i="1"/>
  <c r="M735" i="1"/>
  <c r="M738" i="1"/>
  <c r="M732" i="1"/>
  <c r="Q737" i="1"/>
  <c r="Q736" i="1"/>
  <c r="Q735" i="1"/>
  <c r="Q738" i="1"/>
  <c r="F213" i="1"/>
  <c r="F212" i="1"/>
  <c r="F216" i="1"/>
  <c r="F215" i="1"/>
  <c r="F214" i="1"/>
  <c r="G241" i="1"/>
  <c r="G240" i="1"/>
  <c r="F201" i="1"/>
  <c r="F199" i="1"/>
  <c r="F200" i="1"/>
  <c r="L130" i="1"/>
  <c r="L133" i="1"/>
  <c r="L132" i="1"/>
  <c r="L131" i="1"/>
  <c r="J600" i="1"/>
  <c r="J602" i="1"/>
  <c r="J599" i="1"/>
  <c r="J601" i="1"/>
  <c r="J603" i="1"/>
  <c r="J605" i="1"/>
  <c r="O841" i="1"/>
  <c r="O839" i="1"/>
  <c r="O843" i="1"/>
  <c r="O846" i="1"/>
  <c r="O842" i="1"/>
  <c r="O844" i="1"/>
  <c r="O840" i="1"/>
  <c r="H670" i="1"/>
  <c r="H671" i="1"/>
  <c r="H818" i="1"/>
  <c r="H819" i="1"/>
  <c r="H872" i="1"/>
  <c r="H873" i="1"/>
  <c r="H637" i="1"/>
  <c r="H638" i="1"/>
  <c r="H619" i="1"/>
  <c r="H620" i="1"/>
  <c r="H762" i="1"/>
  <c r="H763" i="1"/>
  <c r="R799" i="1"/>
  <c r="R801" i="1"/>
  <c r="R800" i="1"/>
  <c r="R802" i="1"/>
  <c r="R633" i="1"/>
  <c r="R631" i="1"/>
  <c r="R629" i="1"/>
  <c r="R632" i="1"/>
  <c r="R630" i="1"/>
  <c r="R628" i="1"/>
  <c r="R609" i="1"/>
  <c r="R612" i="1"/>
  <c r="R614" i="1"/>
  <c r="R615" i="1"/>
  <c r="R610" i="1"/>
  <c r="R613" i="1"/>
  <c r="R687" i="1"/>
  <c r="R684" i="1"/>
  <c r="R683" i="1"/>
  <c r="R682" i="1"/>
  <c r="R681" i="1"/>
  <c r="R685" i="1"/>
  <c r="R686" i="1"/>
  <c r="R599" i="1"/>
  <c r="R601" i="1"/>
  <c r="R603" i="1"/>
  <c r="R605" i="1"/>
  <c r="R600" i="1"/>
  <c r="R602" i="1"/>
  <c r="R604" i="1"/>
  <c r="R810" i="1"/>
  <c r="R813" i="1"/>
  <c r="R812" i="1"/>
  <c r="R811" i="1"/>
  <c r="Q609" i="1"/>
  <c r="Q610" i="1"/>
  <c r="Q613" i="1"/>
  <c r="Q615" i="1"/>
  <c r="Q612" i="1"/>
  <c r="Q614" i="1"/>
  <c r="Q588" i="1"/>
  <c r="Q592" i="1"/>
  <c r="Q586" i="1"/>
  <c r="Q589" i="1"/>
  <c r="Q590" i="1"/>
  <c r="Q587" i="1"/>
  <c r="Q591" i="1"/>
  <c r="Q593" i="1"/>
  <c r="Q788" i="1"/>
  <c r="Q791" i="1"/>
  <c r="Q790" i="1"/>
  <c r="Q789" i="1"/>
  <c r="Q665" i="1"/>
  <c r="Q658" i="1"/>
  <c r="Q660" i="1"/>
  <c r="Q657" i="1"/>
  <c r="Q661" i="1"/>
  <c r="Q663" i="1"/>
  <c r="Q664" i="1"/>
  <c r="Q662" i="1"/>
  <c r="Q799" i="1"/>
  <c r="Q802" i="1"/>
  <c r="Q801" i="1"/>
  <c r="Q800" i="1"/>
  <c r="Q846" i="1"/>
  <c r="Q845" i="1"/>
  <c r="Q844" i="1"/>
  <c r="Q843" i="1"/>
  <c r="Q228" i="1"/>
  <c r="Q230" i="1" s="1"/>
  <c r="I592" i="1"/>
  <c r="I586" i="1"/>
  <c r="I589" i="1"/>
  <c r="I588" i="1"/>
  <c r="I590" i="1"/>
  <c r="I593" i="1"/>
  <c r="I587" i="1"/>
  <c r="I591" i="1"/>
  <c r="I704" i="1"/>
  <c r="I708" i="1"/>
  <c r="I703" i="1"/>
  <c r="I706" i="1"/>
  <c r="I702" i="1"/>
  <c r="I705" i="1"/>
  <c r="N865" i="1"/>
  <c r="N868" i="1"/>
  <c r="N867" i="1"/>
  <c r="N866" i="1"/>
  <c r="F602" i="1"/>
  <c r="F603" i="1"/>
  <c r="F600" i="1"/>
  <c r="F599" i="1"/>
  <c r="F605" i="1"/>
  <c r="F601" i="1"/>
  <c r="F817" i="1"/>
  <c r="F824" i="1"/>
  <c r="F821" i="1"/>
  <c r="F820" i="1"/>
  <c r="F822" i="1"/>
  <c r="F819" i="1"/>
  <c r="F818" i="1"/>
  <c r="F893" i="1"/>
  <c r="F898" i="1"/>
  <c r="F892" i="1"/>
  <c r="F895" i="1"/>
  <c r="F896" i="1"/>
  <c r="F894" i="1"/>
  <c r="M776" i="1"/>
  <c r="M775" i="1"/>
  <c r="M773" i="1"/>
  <c r="M774" i="1"/>
  <c r="M778" i="1"/>
  <c r="M780" i="1"/>
  <c r="M777" i="1"/>
  <c r="M599" i="1"/>
  <c r="M601" i="1"/>
  <c r="M603" i="1"/>
  <c r="M605" i="1"/>
  <c r="M600" i="1"/>
  <c r="M602" i="1"/>
  <c r="L863" i="1"/>
  <c r="L865" i="1"/>
  <c r="L866" i="1"/>
  <c r="L862" i="1"/>
  <c r="L868" i="1"/>
  <c r="L861" i="1"/>
  <c r="L864" i="1"/>
  <c r="L854" i="1"/>
  <c r="L853" i="1"/>
  <c r="L852" i="1"/>
  <c r="L850" i="1"/>
  <c r="L851" i="1"/>
  <c r="L780" i="1"/>
  <c r="L777" i="1"/>
  <c r="L776" i="1"/>
  <c r="L775" i="1"/>
  <c r="L773" i="1"/>
  <c r="L778" i="1"/>
  <c r="L774" i="1"/>
  <c r="G657" i="1"/>
  <c r="G661" i="1"/>
  <c r="G660" i="1"/>
  <c r="G665" i="1"/>
  <c r="G659" i="1"/>
  <c r="G663" i="1"/>
  <c r="G658" i="1"/>
  <c r="G662" i="1"/>
  <c r="G602" i="1"/>
  <c r="G599" i="1"/>
  <c r="G601" i="1"/>
  <c r="G603" i="1"/>
  <c r="G605" i="1"/>
  <c r="G600" i="1"/>
  <c r="G756" i="1"/>
  <c r="G752" i="1"/>
  <c r="G755" i="1"/>
  <c r="G753" i="1"/>
  <c r="G754" i="1"/>
  <c r="G758" i="1"/>
  <c r="G853" i="1"/>
  <c r="G852" i="1"/>
  <c r="G851" i="1"/>
  <c r="G850" i="1"/>
  <c r="G854" i="1"/>
  <c r="I609" i="1"/>
  <c r="I610" i="1"/>
  <c r="I613" i="1"/>
  <c r="I615" i="1"/>
  <c r="I611" i="1"/>
  <c r="I612" i="1"/>
  <c r="F833" i="1"/>
  <c r="F830" i="1"/>
  <c r="F829" i="1"/>
  <c r="F828" i="1"/>
  <c r="F835" i="1"/>
  <c r="F831" i="1"/>
  <c r="F832" i="1"/>
  <c r="R726" i="1"/>
  <c r="R725" i="1"/>
  <c r="R728" i="1"/>
  <c r="R727" i="1"/>
  <c r="R868" i="1"/>
  <c r="R867" i="1"/>
  <c r="R866" i="1"/>
  <c r="R865" i="1"/>
  <c r="Q868" i="1"/>
  <c r="Q867" i="1"/>
  <c r="Q866" i="1"/>
  <c r="Q865" i="1"/>
  <c r="G220" i="1"/>
  <c r="G223" i="1"/>
  <c r="G222" i="1"/>
  <c r="G221" i="1"/>
  <c r="O875" i="1"/>
  <c r="O874" i="1"/>
  <c r="O873" i="1"/>
  <c r="O872" i="1"/>
  <c r="O876" i="1"/>
  <c r="H657" i="1"/>
  <c r="H658" i="1"/>
  <c r="H588" i="1"/>
  <c r="H591" i="1"/>
  <c r="H590" i="1"/>
  <c r="H592" i="1"/>
  <c r="H593" i="1"/>
  <c r="H587" i="1"/>
  <c r="H589" i="1"/>
  <c r="H586" i="1"/>
  <c r="R707" i="1"/>
  <c r="R702" i="1"/>
  <c r="R708" i="1"/>
  <c r="R706" i="1"/>
  <c r="R705" i="1"/>
  <c r="R703" i="1"/>
  <c r="R856" i="1"/>
  <c r="R855" i="1"/>
  <c r="R854" i="1"/>
  <c r="R857" i="1"/>
  <c r="Q757" i="1"/>
  <c r="Q756" i="1"/>
  <c r="Q755" i="1"/>
  <c r="Q758" i="1"/>
  <c r="Q810" i="1"/>
  <c r="Q813" i="1"/>
  <c r="Q812" i="1"/>
  <c r="Q811" i="1"/>
  <c r="M222" i="1"/>
  <c r="M224" i="1" s="1"/>
  <c r="N586" i="1"/>
  <c r="N589" i="1"/>
  <c r="N587" i="1"/>
  <c r="N590" i="1"/>
  <c r="N592" i="1"/>
  <c r="N593" i="1"/>
  <c r="N588" i="1"/>
  <c r="N591" i="1"/>
  <c r="F672" i="1"/>
  <c r="F669" i="1"/>
  <c r="F673" i="1"/>
  <c r="F677" i="1"/>
  <c r="F671" i="1"/>
  <c r="F675" i="1"/>
  <c r="F670" i="1"/>
  <c r="F674" i="1"/>
  <c r="M694" i="1"/>
  <c r="M693" i="1"/>
  <c r="M695" i="1"/>
  <c r="M696" i="1"/>
  <c r="M691" i="1"/>
  <c r="M692" i="1"/>
  <c r="M697" i="1"/>
  <c r="L602" i="1"/>
  <c r="L599" i="1"/>
  <c r="L601" i="1"/>
  <c r="L603" i="1"/>
  <c r="L605" i="1"/>
  <c r="L600" i="1"/>
  <c r="L744" i="1"/>
  <c r="L743" i="1"/>
  <c r="L745" i="1"/>
  <c r="L742" i="1"/>
  <c r="L748" i="1"/>
  <c r="L746" i="1"/>
  <c r="G886" i="1"/>
  <c r="G885" i="1"/>
  <c r="G884" i="1"/>
  <c r="G882" i="1"/>
  <c r="G883" i="1"/>
  <c r="G650" i="1"/>
  <c r="G648" i="1"/>
  <c r="G646" i="1"/>
  <c r="F227" i="1"/>
  <c r="F228" i="1"/>
  <c r="F229" i="1"/>
  <c r="F240" i="1"/>
  <c r="F241" i="1"/>
  <c r="F220" i="1"/>
  <c r="F223" i="1"/>
  <c r="F221" i="1"/>
  <c r="F222" i="1"/>
  <c r="F194" i="1"/>
  <c r="F193" i="1"/>
  <c r="F195" i="1"/>
  <c r="O214" i="1"/>
  <c r="O215" i="1"/>
  <c r="O213" i="1"/>
  <c r="O212" i="1"/>
  <c r="O216" i="1"/>
  <c r="L216" i="1"/>
  <c r="L212" i="1"/>
  <c r="L215" i="1"/>
  <c r="L213" i="1"/>
  <c r="L214" i="1"/>
  <c r="J593" i="1"/>
  <c r="J586" i="1"/>
  <c r="J589" i="1"/>
  <c r="J587" i="1"/>
  <c r="J590" i="1"/>
  <c r="J592" i="1"/>
  <c r="J591" i="1"/>
  <c r="J588" i="1"/>
  <c r="J640" i="1"/>
  <c r="J639" i="1"/>
  <c r="J638" i="1"/>
  <c r="J637" i="1"/>
  <c r="J642" i="1"/>
  <c r="O865" i="1"/>
  <c r="O868" i="1"/>
  <c r="O867" i="1"/>
  <c r="O866" i="1"/>
  <c r="H773" i="1"/>
  <c r="H774" i="1"/>
  <c r="H882" i="1"/>
  <c r="H883" i="1"/>
  <c r="H602" i="1"/>
  <c r="H599" i="1"/>
  <c r="H601" i="1"/>
  <c r="H603" i="1"/>
  <c r="H605" i="1"/>
  <c r="H600" i="1"/>
  <c r="H743" i="1"/>
  <c r="H742" i="1"/>
  <c r="R646" i="1"/>
  <c r="R647" i="1"/>
  <c r="R650" i="1"/>
  <c r="R652" i="1"/>
  <c r="R649" i="1"/>
  <c r="R651" i="1"/>
  <c r="R788" i="1"/>
  <c r="R791" i="1"/>
  <c r="R790" i="1"/>
  <c r="R789" i="1"/>
  <c r="R846" i="1"/>
  <c r="R845" i="1"/>
  <c r="R844" i="1"/>
  <c r="R843" i="1"/>
  <c r="R777" i="1"/>
  <c r="R779" i="1"/>
  <c r="R778" i="1"/>
  <c r="R780" i="1"/>
  <c r="R586" i="1"/>
  <c r="R589" i="1"/>
  <c r="R587" i="1"/>
  <c r="R591" i="1"/>
  <c r="R592" i="1"/>
  <c r="R593" i="1"/>
  <c r="R588" i="1"/>
  <c r="R590" i="1"/>
  <c r="R745" i="1"/>
  <c r="R742" i="1"/>
  <c r="R746" i="1"/>
  <c r="R748" i="1"/>
  <c r="R747" i="1"/>
  <c r="R743" i="1"/>
  <c r="Q620" i="1"/>
  <c r="Q621" i="1"/>
  <c r="Q622" i="1"/>
  <c r="Q619" i="1"/>
  <c r="Q623" i="1"/>
  <c r="Q624" i="1"/>
  <c r="Q777" i="1"/>
  <c r="Q780" i="1"/>
  <c r="Q779" i="1"/>
  <c r="Q778" i="1"/>
  <c r="Q703" i="1"/>
  <c r="Q705" i="1"/>
  <c r="Q706" i="1"/>
  <c r="Q707" i="1"/>
  <c r="Q702" i="1"/>
  <c r="Q708" i="1"/>
  <c r="Q599" i="1"/>
  <c r="Q601" i="1"/>
  <c r="Q603" i="1"/>
  <c r="Q605" i="1"/>
  <c r="Q604" i="1"/>
  <c r="Q600" i="1"/>
  <c r="Q602" i="1"/>
  <c r="Q650" i="1"/>
  <c r="Q652" i="1"/>
  <c r="Q647" i="1"/>
  <c r="Q649" i="1"/>
  <c r="Q646" i="1"/>
  <c r="Q651" i="1"/>
  <c r="Q821" i="1"/>
  <c r="Q824" i="1"/>
  <c r="Q823" i="1"/>
  <c r="Q822" i="1"/>
  <c r="L205" i="1"/>
  <c r="L207" i="1"/>
  <c r="I619" i="1"/>
  <c r="I624" i="1"/>
  <c r="I621" i="1"/>
  <c r="I622" i="1"/>
  <c r="I620" i="1"/>
  <c r="N857" i="1"/>
  <c r="N855" i="1"/>
  <c r="N850" i="1"/>
  <c r="N854" i="1"/>
  <c r="N853" i="1"/>
  <c r="N852" i="1"/>
  <c r="N851" i="1"/>
  <c r="F866" i="1"/>
  <c r="F865" i="1"/>
  <c r="F864" i="1"/>
  <c r="F861" i="1"/>
  <c r="F862" i="1"/>
  <c r="F755" i="1"/>
  <c r="F754" i="1"/>
  <c r="F752" i="1"/>
  <c r="F758" i="1"/>
  <c r="F753" i="1"/>
  <c r="F756" i="1"/>
  <c r="F797" i="1"/>
  <c r="F795" i="1"/>
  <c r="F796" i="1"/>
  <c r="F800" i="1"/>
  <c r="F802" i="1"/>
  <c r="F799" i="1"/>
  <c r="F798" i="1"/>
  <c r="F873" i="1"/>
  <c r="F872" i="1"/>
  <c r="F876" i="1"/>
  <c r="F875" i="1"/>
  <c r="F874" i="1"/>
  <c r="M742" i="1"/>
  <c r="M748" i="1"/>
  <c r="M743" i="1"/>
  <c r="M746" i="1"/>
  <c r="M745" i="1"/>
  <c r="M744" i="1"/>
  <c r="M756" i="1"/>
  <c r="M752" i="1"/>
  <c r="M755" i="1"/>
  <c r="M753" i="1"/>
  <c r="M754" i="1"/>
  <c r="M758" i="1"/>
  <c r="M588" i="1"/>
  <c r="M592" i="1"/>
  <c r="M586" i="1"/>
  <c r="M589" i="1"/>
  <c r="M590" i="1"/>
  <c r="M593" i="1"/>
  <c r="M587" i="1"/>
  <c r="M591" i="1"/>
  <c r="L786" i="1"/>
  <c r="L784" i="1"/>
  <c r="L764" i="1"/>
  <c r="L763" i="1"/>
  <c r="L767" i="1"/>
  <c r="L762" i="1"/>
  <c r="L766" i="1"/>
  <c r="L765" i="1"/>
  <c r="L769" i="1"/>
  <c r="L755" i="1"/>
  <c r="L754" i="1"/>
  <c r="L752" i="1"/>
  <c r="L758" i="1"/>
  <c r="L756" i="1"/>
  <c r="L753" i="1"/>
  <c r="R221" i="1"/>
  <c r="R224" i="1" s="1"/>
  <c r="O228" i="1"/>
  <c r="O229" i="1"/>
  <c r="O227" i="1"/>
  <c r="M130" i="1"/>
  <c r="M133" i="1"/>
  <c r="M131" i="1"/>
  <c r="M132" i="1"/>
  <c r="G593" i="1"/>
  <c r="G589" i="1"/>
  <c r="G591" i="1"/>
  <c r="G586" i="1"/>
  <c r="G592" i="1"/>
  <c r="G587" i="1"/>
  <c r="G588" i="1"/>
  <c r="G590" i="1"/>
  <c r="G874" i="1"/>
  <c r="G873" i="1"/>
  <c r="G872" i="1"/>
  <c r="G876" i="1"/>
  <c r="G875" i="1"/>
  <c r="G673" i="1"/>
  <c r="G670" i="1"/>
  <c r="G677" i="1"/>
  <c r="G669" i="1"/>
  <c r="G674" i="1"/>
  <c r="G672" i="1"/>
  <c r="G671" i="1"/>
  <c r="G675" i="1"/>
  <c r="G796" i="1"/>
  <c r="G800" i="1"/>
  <c r="G802" i="1"/>
  <c r="G799" i="1"/>
  <c r="G798" i="1"/>
  <c r="G797" i="1"/>
  <c r="G795" i="1"/>
  <c r="F786" i="1"/>
  <c r="F784" i="1"/>
  <c r="F785" i="1"/>
  <c r="F789" i="1"/>
  <c r="F791" i="1"/>
  <c r="F788" i="1"/>
  <c r="F787" i="1"/>
  <c r="R737" i="1"/>
  <c r="R736" i="1"/>
  <c r="R735" i="1"/>
  <c r="R738" i="1"/>
  <c r="L704" i="1"/>
  <c r="L703" i="1"/>
  <c r="L705" i="1"/>
  <c r="L702" i="1"/>
  <c r="L708" i="1"/>
  <c r="L706" i="1"/>
  <c r="Q726" i="1"/>
  <c r="Q725" i="1"/>
  <c r="Q728" i="1"/>
  <c r="Q727" i="1"/>
  <c r="F84" i="1"/>
  <c r="F88" i="1"/>
  <c r="F83" i="1"/>
  <c r="F87" i="1"/>
  <c r="F82" i="1"/>
  <c r="F91" i="1"/>
  <c r="F86" i="1"/>
  <c r="F90" i="1"/>
  <c r="F92" i="1"/>
  <c r="F85" i="1"/>
  <c r="F89" i="1"/>
  <c r="J54" i="1"/>
  <c r="J53" i="1"/>
  <c r="J52" i="1"/>
  <c r="J51" i="1"/>
  <c r="I62" i="1"/>
  <c r="I61" i="1"/>
  <c r="I60" i="1"/>
  <c r="I59" i="1"/>
  <c r="I58" i="1"/>
  <c r="F173" i="1"/>
  <c r="F172" i="1"/>
  <c r="F174" i="1"/>
  <c r="F170" i="1"/>
  <c r="F171" i="1"/>
  <c r="F175" i="1"/>
  <c r="H97" i="1"/>
  <c r="H98" i="1"/>
  <c r="I117" i="1"/>
  <c r="I119" i="1"/>
  <c r="I118" i="1"/>
  <c r="I54" i="1"/>
  <c r="I53" i="1"/>
  <c r="I51" i="1"/>
  <c r="I52" i="1"/>
  <c r="F102" i="1"/>
  <c r="F104" i="1"/>
  <c r="F103" i="1"/>
  <c r="G96" i="1"/>
  <c r="G98" i="1"/>
  <c r="G97" i="1"/>
  <c r="J66" i="1"/>
  <c r="J67" i="1"/>
  <c r="H150" i="1"/>
  <c r="H149" i="1"/>
  <c r="J59" i="1"/>
  <c r="J58" i="1"/>
  <c r="J62" i="1"/>
  <c r="J61" i="1"/>
  <c r="J60" i="1"/>
  <c r="R145" i="1"/>
  <c r="R146" i="1" s="1"/>
  <c r="N66" i="1"/>
  <c r="N67" i="1"/>
  <c r="M118" i="1"/>
  <c r="M117" i="1"/>
  <c r="M119" i="1"/>
  <c r="H163" i="1"/>
  <c r="H166" i="1"/>
  <c r="Q72" i="1"/>
  <c r="Q71" i="1"/>
  <c r="M123" i="1"/>
  <c r="M126" i="1"/>
  <c r="M125" i="1"/>
  <c r="M124" i="1"/>
  <c r="L138" i="1"/>
  <c r="L137" i="1"/>
  <c r="L139" i="1"/>
  <c r="R67" i="1"/>
  <c r="R66" i="1"/>
  <c r="N138" i="1"/>
  <c r="N139" i="1"/>
  <c r="M163" i="1"/>
  <c r="M166" i="1"/>
  <c r="M165" i="1"/>
  <c r="M164" i="1"/>
  <c r="L163" i="1"/>
  <c r="L166" i="1"/>
  <c r="L165" i="1"/>
  <c r="L164" i="1"/>
  <c r="R52" i="1"/>
  <c r="R51" i="1"/>
  <c r="R54" i="1"/>
  <c r="R53" i="1"/>
  <c r="Q60" i="1"/>
  <c r="Q62" i="1"/>
  <c r="Q58" i="1"/>
  <c r="Q59" i="1"/>
  <c r="Q61" i="1"/>
  <c r="H170" i="1"/>
  <c r="H173" i="1"/>
  <c r="I46" i="1"/>
  <c r="M278" i="1"/>
  <c r="M279" i="1"/>
  <c r="G174" i="1"/>
  <c r="G170" i="1"/>
  <c r="G171" i="1"/>
  <c r="G175" i="1"/>
  <c r="G173" i="1"/>
  <c r="G172" i="1"/>
  <c r="H126" i="1"/>
  <c r="H125" i="1"/>
  <c r="M151" i="1"/>
  <c r="M150" i="1"/>
  <c r="M149" i="1"/>
  <c r="Q51" i="1"/>
  <c r="Q53" i="1"/>
  <c r="Q52" i="1"/>
  <c r="Q54" i="1"/>
  <c r="M144" i="1"/>
  <c r="M143" i="1"/>
  <c r="M145" i="1"/>
  <c r="O138" i="1"/>
  <c r="O137" i="1"/>
  <c r="O139" i="1"/>
  <c r="M157" i="1"/>
  <c r="M156" i="1"/>
  <c r="M155" i="1"/>
  <c r="M159" i="1"/>
  <c r="M158" i="1"/>
  <c r="R98" i="1"/>
  <c r="R96" i="1"/>
  <c r="L145" i="1"/>
  <c r="L144" i="1"/>
  <c r="L143" i="1"/>
  <c r="H71" i="1"/>
  <c r="H72" i="1"/>
  <c r="M111" i="1"/>
  <c r="M112" i="1"/>
  <c r="M109" i="1"/>
  <c r="M108" i="1"/>
  <c r="M110" i="1"/>
  <c r="M113" i="1"/>
  <c r="Q96" i="1"/>
  <c r="Q98" i="1"/>
  <c r="L62" i="1"/>
  <c r="L61" i="1"/>
  <c r="L60" i="1"/>
  <c r="L59" i="1"/>
  <c r="L58" i="1"/>
  <c r="I67" i="1"/>
  <c r="I66" i="1"/>
  <c r="G53" i="1"/>
  <c r="G52" i="1"/>
  <c r="G51" i="1"/>
  <c r="G54" i="1"/>
  <c r="F97" i="1"/>
  <c r="F96" i="1"/>
  <c r="F98" i="1"/>
  <c r="F149" i="1"/>
  <c r="F150" i="1"/>
  <c r="F151" i="1"/>
  <c r="Q145" i="1"/>
  <c r="Q146" i="1" s="1"/>
  <c r="L52" i="1"/>
  <c r="L51" i="1"/>
  <c r="L54" i="1"/>
  <c r="L53" i="1"/>
  <c r="H83" i="1"/>
  <c r="H84" i="1"/>
  <c r="R59" i="1"/>
  <c r="R61" i="1"/>
  <c r="R58" i="1"/>
  <c r="R60" i="1"/>
  <c r="R62" i="1"/>
  <c r="L156" i="1"/>
  <c r="L155" i="1"/>
  <c r="L159" i="1"/>
  <c r="L158" i="1"/>
  <c r="L157" i="1"/>
  <c r="M54" i="1"/>
  <c r="M53" i="1"/>
  <c r="L110" i="1"/>
  <c r="L111" i="1"/>
  <c r="L108" i="1"/>
  <c r="L109" i="1"/>
  <c r="L113" i="1"/>
  <c r="L112" i="1"/>
  <c r="O67" i="1"/>
  <c r="O66" i="1"/>
  <c r="M137" i="1"/>
  <c r="M139" i="1"/>
  <c r="M138" i="1"/>
  <c r="O52" i="1"/>
  <c r="O51" i="1"/>
  <c r="H103" i="1"/>
  <c r="H104" i="1"/>
  <c r="H66" i="1"/>
  <c r="H67" i="1"/>
  <c r="J71" i="1"/>
  <c r="J72" i="1"/>
  <c r="L46" i="1"/>
  <c r="G150" i="1"/>
  <c r="G149" i="1"/>
  <c r="G151" i="1"/>
  <c r="G83" i="1"/>
  <c r="G87" i="1"/>
  <c r="G82" i="1"/>
  <c r="G91" i="1"/>
  <c r="G86" i="1"/>
  <c r="G90" i="1"/>
  <c r="G92" i="1"/>
  <c r="G85" i="1"/>
  <c r="G89" i="1"/>
  <c r="G84" i="1"/>
  <c r="G88" i="1"/>
  <c r="J117" i="1"/>
  <c r="J119" i="1"/>
  <c r="J118" i="1"/>
  <c r="F62" i="1"/>
  <c r="F61" i="1"/>
  <c r="F60" i="1"/>
  <c r="F59" i="1"/>
  <c r="F58" i="1"/>
  <c r="F51" i="1"/>
  <c r="F54" i="1"/>
  <c r="F53" i="1"/>
  <c r="F52" i="1"/>
  <c r="G104" i="1"/>
  <c r="G103" i="1"/>
  <c r="G102" i="1"/>
  <c r="I71" i="1"/>
  <c r="I72" i="1"/>
  <c r="L119" i="1"/>
  <c r="L118" i="1"/>
  <c r="L117" i="1"/>
  <c r="H51" i="1"/>
  <c r="H54" i="1"/>
  <c r="R91" i="1"/>
  <c r="R90" i="1"/>
  <c r="R87" i="1"/>
  <c r="R86" i="1"/>
  <c r="N54" i="1"/>
  <c r="N53" i="1"/>
  <c r="N52" i="1"/>
  <c r="N51" i="1"/>
  <c r="L123" i="1"/>
  <c r="L125" i="1"/>
  <c r="L124" i="1"/>
  <c r="L126" i="1"/>
  <c r="G60" i="1"/>
  <c r="G59" i="1"/>
  <c r="G58" i="1"/>
  <c r="G62" i="1"/>
  <c r="G61" i="1"/>
  <c r="Q66" i="1"/>
  <c r="Q67" i="1"/>
  <c r="L150" i="1"/>
  <c r="L151" i="1"/>
  <c r="L149" i="1"/>
  <c r="M67" i="1"/>
  <c r="M66" i="1"/>
  <c r="H155" i="1"/>
  <c r="H158" i="1"/>
  <c r="R71" i="1"/>
  <c r="R72" i="1"/>
  <c r="H139" i="1"/>
  <c r="H137" i="1"/>
  <c r="H60" i="1"/>
  <c r="H58" i="1"/>
  <c r="Q263" i="1"/>
  <c r="Q264" i="1"/>
  <c r="Q268" i="1"/>
  <c r="L263" i="1"/>
  <c r="L264" i="1"/>
  <c r="L268" i="1"/>
  <c r="M263" i="1"/>
  <c r="M264" i="1"/>
  <c r="M268" i="1"/>
  <c r="R263" i="1"/>
  <c r="R264" i="1"/>
  <c r="R268" i="1"/>
  <c r="G263" i="1"/>
  <c r="G264" i="1"/>
  <c r="G268" i="1"/>
  <c r="O264" i="1"/>
  <c r="O268" i="1"/>
  <c r="O263" i="1"/>
  <c r="H263" i="1"/>
  <c r="H264" i="1"/>
  <c r="H268" i="1"/>
  <c r="N264" i="1"/>
  <c r="N268" i="1"/>
  <c r="N263" i="1"/>
  <c r="J264" i="1"/>
  <c r="J268" i="1"/>
  <c r="J263" i="1"/>
  <c r="I264" i="1"/>
  <c r="I268" i="1"/>
  <c r="I263" i="1"/>
  <c r="Q262" i="1"/>
  <c r="Q267" i="1"/>
  <c r="Q261" i="1"/>
  <c r="L262" i="1"/>
  <c r="L267" i="1"/>
  <c r="L261" i="1"/>
  <c r="M262" i="1"/>
  <c r="M267" i="1"/>
  <c r="M261" i="1"/>
  <c r="R262" i="1"/>
  <c r="R267" i="1"/>
  <c r="R261" i="1"/>
  <c r="J262" i="1"/>
  <c r="J267" i="1"/>
  <c r="J261" i="1"/>
  <c r="I262" i="1"/>
  <c r="I261" i="1"/>
  <c r="I267" i="1"/>
  <c r="G262" i="1"/>
  <c r="G267" i="1"/>
  <c r="G261" i="1"/>
  <c r="O262" i="1"/>
  <c r="O267" i="1"/>
  <c r="O261" i="1"/>
  <c r="H262" i="1"/>
  <c r="H267" i="1"/>
  <c r="H261" i="1"/>
  <c r="N262" i="1"/>
  <c r="N261" i="1"/>
  <c r="N267" i="1"/>
  <c r="M381" i="1"/>
  <c r="M436" i="1"/>
  <c r="M433" i="1"/>
  <c r="F436" i="1"/>
  <c r="F433" i="1"/>
  <c r="F432" i="1"/>
  <c r="G436" i="1"/>
  <c r="G432" i="1"/>
  <c r="G433" i="1"/>
  <c r="L433" i="1"/>
  <c r="L436" i="1"/>
  <c r="H433" i="1"/>
  <c r="H436" i="1"/>
  <c r="I315" i="1"/>
  <c r="I316" i="1"/>
  <c r="I317" i="1"/>
  <c r="F290" i="1"/>
  <c r="F292" i="1"/>
  <c r="F287" i="1"/>
  <c r="F289" i="1"/>
  <c r="O278" i="1"/>
  <c r="O280" i="1"/>
  <c r="O281" i="1"/>
  <c r="O283" i="1"/>
  <c r="O279" i="1"/>
  <c r="O282" i="1"/>
  <c r="G434" i="1"/>
  <c r="G438" i="1"/>
  <c r="G435" i="1"/>
  <c r="G437" i="1"/>
  <c r="G492" i="1"/>
  <c r="G494" i="1"/>
  <c r="G493" i="1"/>
  <c r="G464" i="1"/>
  <c r="G466" i="1"/>
  <c r="G462" i="1"/>
  <c r="G465" i="1"/>
  <c r="G467" i="1"/>
  <c r="G461" i="1"/>
  <c r="G463" i="1"/>
  <c r="G528" i="1"/>
  <c r="G529" i="1"/>
  <c r="G531" i="1"/>
  <c r="G533" i="1"/>
  <c r="L423" i="1"/>
  <c r="L425" i="1"/>
  <c r="L426" i="1"/>
  <c r="L428" i="1"/>
  <c r="L422" i="1"/>
  <c r="L424" i="1"/>
  <c r="L427" i="1"/>
  <c r="L437" i="1"/>
  <c r="L432" i="1"/>
  <c r="L435" i="1"/>
  <c r="L434" i="1"/>
  <c r="L438" i="1"/>
  <c r="L508" i="1"/>
  <c r="L510" i="1"/>
  <c r="L512" i="1"/>
  <c r="L514" i="1"/>
  <c r="L513" i="1"/>
  <c r="L461" i="1"/>
  <c r="L463" i="1"/>
  <c r="L465" i="1"/>
  <c r="L467" i="1"/>
  <c r="L462" i="1"/>
  <c r="L464" i="1"/>
  <c r="L466" i="1"/>
  <c r="Q360" i="1"/>
  <c r="Q353" i="1"/>
  <c r="Q355" i="1"/>
  <c r="Q357" i="1"/>
  <c r="Q359" i="1"/>
  <c r="Q361" i="1"/>
  <c r="Q356" i="1"/>
  <c r="Q354" i="1"/>
  <c r="Q358" i="1"/>
  <c r="Q362" i="1"/>
  <c r="Q367" i="1"/>
  <c r="Q368" i="1"/>
  <c r="Q370" i="1"/>
  <c r="Q371" i="1"/>
  <c r="Q366" i="1"/>
  <c r="Q369" i="1"/>
  <c r="Q394" i="1"/>
  <c r="Q396" i="1"/>
  <c r="Q397" i="1"/>
  <c r="Q398" i="1"/>
  <c r="F475" i="1"/>
  <c r="F471" i="1"/>
  <c r="F472" i="1"/>
  <c r="F474" i="1"/>
  <c r="F477" i="1"/>
  <c r="F473" i="1"/>
  <c r="F476" i="1"/>
  <c r="F435" i="1"/>
  <c r="F434" i="1"/>
  <c r="F437" i="1"/>
  <c r="F438" i="1"/>
  <c r="F355" i="1"/>
  <c r="F359" i="1"/>
  <c r="F353" i="1"/>
  <c r="F354" i="1"/>
  <c r="F362" i="1"/>
  <c r="F358" i="1"/>
  <c r="F357" i="1"/>
  <c r="F356" i="1"/>
  <c r="F361" i="1"/>
  <c r="F360" i="1"/>
  <c r="R366" i="1"/>
  <c r="R367" i="1"/>
  <c r="R368" i="1"/>
  <c r="R369" i="1"/>
  <c r="R370" i="1"/>
  <c r="R371" i="1"/>
  <c r="R353" i="1"/>
  <c r="R355" i="1"/>
  <c r="R357" i="1"/>
  <c r="R359" i="1"/>
  <c r="R361" i="1"/>
  <c r="R356" i="1"/>
  <c r="R362" i="1"/>
  <c r="R354" i="1"/>
  <c r="R358" i="1"/>
  <c r="R360" i="1"/>
  <c r="I308" i="1"/>
  <c r="I309" i="1"/>
  <c r="I306" i="1"/>
  <c r="O265" i="1"/>
  <c r="O269" i="1"/>
  <c r="O271" i="1"/>
  <c r="O266" i="1"/>
  <c r="O270" i="1"/>
  <c r="H266" i="1"/>
  <c r="H270" i="1"/>
  <c r="H265" i="1"/>
  <c r="H269" i="1"/>
  <c r="H271" i="1"/>
  <c r="O543" i="1"/>
  <c r="O540" i="1"/>
  <c r="O538" i="1"/>
  <c r="O542" i="1"/>
  <c r="O412" i="1"/>
  <c r="O416" i="1"/>
  <c r="O413" i="1"/>
  <c r="O415" i="1"/>
  <c r="O417" i="1"/>
  <c r="I386" i="1"/>
  <c r="I388" i="1"/>
  <c r="I390" i="1"/>
  <c r="I385" i="1"/>
  <c r="I389" i="1"/>
  <c r="I387" i="1"/>
  <c r="M461" i="1"/>
  <c r="M463" i="1"/>
  <c r="M465" i="1"/>
  <c r="M467" i="1"/>
  <c r="M462" i="1"/>
  <c r="M464" i="1"/>
  <c r="M466" i="1"/>
  <c r="M413" i="1"/>
  <c r="M415" i="1"/>
  <c r="M417" i="1"/>
  <c r="M412" i="1"/>
  <c r="M416" i="1"/>
  <c r="M508" i="1"/>
  <c r="M510" i="1"/>
  <c r="M512" i="1"/>
  <c r="M514" i="1"/>
  <c r="M513" i="1"/>
  <c r="Q287" i="1"/>
  <c r="Q289" i="1"/>
  <c r="Q290" i="1"/>
  <c r="Q292" i="1"/>
  <c r="I265" i="1"/>
  <c r="I269" i="1"/>
  <c r="I271" i="1"/>
  <c r="I270" i="1"/>
  <c r="I266" i="1"/>
  <c r="R323" i="1"/>
  <c r="R325" i="1"/>
  <c r="R324" i="1"/>
  <c r="N533" i="1"/>
  <c r="N528" i="1"/>
  <c r="N529" i="1"/>
  <c r="N531" i="1"/>
  <c r="N518" i="1"/>
  <c r="N519" i="1"/>
  <c r="N520" i="1"/>
  <c r="N521" i="1"/>
  <c r="N522" i="1"/>
  <c r="N523" i="1"/>
  <c r="N524" i="1"/>
  <c r="H482" i="1"/>
  <c r="H484" i="1"/>
  <c r="H486" i="1"/>
  <c r="H483" i="1"/>
  <c r="H481" i="1"/>
  <c r="H485" i="1"/>
  <c r="H514" i="1"/>
  <c r="H508" i="1"/>
  <c r="H513" i="1"/>
  <c r="H510" i="1"/>
  <c r="H512" i="1"/>
  <c r="H566" i="1"/>
  <c r="H564" i="1"/>
  <c r="H568" i="1"/>
  <c r="H308" i="1"/>
  <c r="H309" i="1"/>
  <c r="H306" i="1"/>
  <c r="H518" i="1"/>
  <c r="H519" i="1"/>
  <c r="H520" i="1"/>
  <c r="H521" i="1"/>
  <c r="H522" i="1"/>
  <c r="H523" i="1"/>
  <c r="H524" i="1"/>
  <c r="H412" i="1"/>
  <c r="H416" i="1"/>
  <c r="H413" i="1"/>
  <c r="H417" i="1"/>
  <c r="H415" i="1"/>
  <c r="H434" i="1"/>
  <c r="H438" i="1"/>
  <c r="H432" i="1"/>
  <c r="H435" i="1"/>
  <c r="H437" i="1"/>
  <c r="H397" i="1"/>
  <c r="H394" i="1"/>
  <c r="H396" i="1"/>
  <c r="H398" i="1"/>
  <c r="J287" i="1"/>
  <c r="J289" i="1"/>
  <c r="J290" i="1"/>
  <c r="J292" i="1"/>
  <c r="Q462" i="1"/>
  <c r="Q466" i="1"/>
  <c r="Q464" i="1"/>
  <c r="Q467" i="1"/>
  <c r="Q463" i="1"/>
  <c r="Q465" i="1"/>
  <c r="Q461" i="1"/>
  <c r="Q564" i="1"/>
  <c r="Q568" i="1"/>
  <c r="Q566" i="1"/>
  <c r="G718" i="1"/>
  <c r="G715" i="1"/>
  <c r="G712" i="1"/>
  <c r="G716" i="1"/>
  <c r="G714" i="1"/>
  <c r="R481" i="1"/>
  <c r="R482" i="1"/>
  <c r="R483" i="1"/>
  <c r="R484" i="1"/>
  <c r="R485" i="1"/>
  <c r="R486" i="1"/>
  <c r="R492" i="1"/>
  <c r="R494" i="1"/>
  <c r="R493" i="1"/>
  <c r="R518" i="1"/>
  <c r="R519" i="1"/>
  <c r="R520" i="1"/>
  <c r="R521" i="1"/>
  <c r="R522" i="1"/>
  <c r="R523" i="1"/>
  <c r="R524" i="1"/>
  <c r="F334" i="1"/>
  <c r="F330" i="1"/>
  <c r="F333" i="1"/>
  <c r="M298" i="1"/>
  <c r="M299" i="1"/>
  <c r="M300" i="1"/>
  <c r="M301" i="1"/>
  <c r="M302" i="1"/>
  <c r="F280" i="1"/>
  <c r="F278" i="1"/>
  <c r="F282" i="1"/>
  <c r="F283" i="1"/>
  <c r="F281" i="1"/>
  <c r="F279" i="1"/>
  <c r="Q266" i="1"/>
  <c r="Q270" i="1"/>
  <c r="Q265" i="1"/>
  <c r="Q269" i="1"/>
  <c r="Q271" i="1"/>
  <c r="G344" i="1"/>
  <c r="G341" i="1"/>
  <c r="G343" i="1"/>
  <c r="G345" i="1"/>
  <c r="G347" i="1"/>
  <c r="G349" i="1"/>
  <c r="G348" i="1"/>
  <c r="G342" i="1"/>
  <c r="G346" i="1"/>
  <c r="G473" i="1"/>
  <c r="G474" i="1"/>
  <c r="G475" i="1"/>
  <c r="G476" i="1"/>
  <c r="G477" i="1"/>
  <c r="G472" i="1"/>
  <c r="G471" i="1"/>
  <c r="G353" i="1"/>
  <c r="G355" i="1"/>
  <c r="G356" i="1"/>
  <c r="G357" i="1"/>
  <c r="G359" i="1"/>
  <c r="G360" i="1"/>
  <c r="G362" i="1"/>
  <c r="G354" i="1"/>
  <c r="G358" i="1"/>
  <c r="G361" i="1"/>
  <c r="G481" i="1"/>
  <c r="G482" i="1"/>
  <c r="G483" i="1"/>
  <c r="G484" i="1"/>
  <c r="G485" i="1"/>
  <c r="G486" i="1"/>
  <c r="L298" i="1"/>
  <c r="L299" i="1"/>
  <c r="L300" i="1"/>
  <c r="L301" i="1"/>
  <c r="L302" i="1"/>
  <c r="L413" i="1"/>
  <c r="L415" i="1"/>
  <c r="L417" i="1"/>
  <c r="L412" i="1"/>
  <c r="L416" i="1"/>
  <c r="L376" i="1"/>
  <c r="L377" i="1"/>
  <c r="L379" i="1"/>
  <c r="L375" i="1"/>
  <c r="L378" i="1"/>
  <c r="L380" i="1"/>
  <c r="L521" i="1"/>
  <c r="L520" i="1"/>
  <c r="L524" i="1"/>
  <c r="L519" i="1"/>
  <c r="L523" i="1"/>
  <c r="L522" i="1"/>
  <c r="L518" i="1"/>
  <c r="Q403" i="1"/>
  <c r="Q405" i="1"/>
  <c r="Q407" i="1"/>
  <c r="Q406" i="1"/>
  <c r="Q342" i="1"/>
  <c r="Q344" i="1"/>
  <c r="Q346" i="1"/>
  <c r="Q347" i="1"/>
  <c r="Q349" i="1"/>
  <c r="Q341" i="1"/>
  <c r="Q343" i="1"/>
  <c r="Q345" i="1"/>
  <c r="Q348" i="1"/>
  <c r="Q471" i="1"/>
  <c r="Q472" i="1"/>
  <c r="Q473" i="1"/>
  <c r="Q474" i="1"/>
  <c r="Q475" i="1"/>
  <c r="Q476" i="1"/>
  <c r="Q477" i="1"/>
  <c r="F368" i="1"/>
  <c r="F366" i="1"/>
  <c r="F371" i="1"/>
  <c r="F369" i="1"/>
  <c r="F370" i="1"/>
  <c r="F367" i="1"/>
  <c r="F345" i="1"/>
  <c r="F343" i="1"/>
  <c r="F349" i="1"/>
  <c r="F344" i="1"/>
  <c r="F348" i="1"/>
  <c r="F342" i="1"/>
  <c r="F347" i="1"/>
  <c r="F346" i="1"/>
  <c r="F341" i="1"/>
  <c r="F492" i="1"/>
  <c r="F493" i="1"/>
  <c r="F494" i="1"/>
  <c r="F568" i="1"/>
  <c r="F566" i="1"/>
  <c r="R341" i="1"/>
  <c r="R342" i="1"/>
  <c r="R343" i="1"/>
  <c r="R344" i="1"/>
  <c r="R345" i="1"/>
  <c r="R346" i="1"/>
  <c r="R347" i="1"/>
  <c r="R348" i="1"/>
  <c r="R349" i="1"/>
  <c r="R471" i="1"/>
  <c r="R473" i="1"/>
  <c r="R477" i="1"/>
  <c r="R474" i="1"/>
  <c r="R472" i="1"/>
  <c r="R476" i="1"/>
  <c r="R475" i="1"/>
  <c r="R403" i="1"/>
  <c r="R405" i="1"/>
  <c r="R406" i="1"/>
  <c r="R407" i="1"/>
  <c r="J323" i="1"/>
  <c r="J324" i="1"/>
  <c r="J325" i="1"/>
  <c r="J265" i="1"/>
  <c r="J269" i="1"/>
  <c r="J271" i="1"/>
  <c r="J266" i="1"/>
  <c r="J270" i="1"/>
  <c r="J385" i="1"/>
  <c r="J387" i="1"/>
  <c r="J389" i="1"/>
  <c r="J386" i="1"/>
  <c r="J390" i="1"/>
  <c r="J388" i="1"/>
  <c r="O513" i="1"/>
  <c r="O510" i="1"/>
  <c r="O514" i="1"/>
  <c r="O512" i="1"/>
  <c r="O508" i="1"/>
  <c r="Q558" i="1"/>
  <c r="Q560" i="1"/>
  <c r="I281" i="1"/>
  <c r="I278" i="1"/>
  <c r="I280" i="1"/>
  <c r="I283" i="1"/>
  <c r="I282" i="1"/>
  <c r="I279" i="1"/>
  <c r="M454" i="1"/>
  <c r="M457" i="1"/>
  <c r="M456" i="1"/>
  <c r="M455" i="1"/>
  <c r="M396" i="1"/>
  <c r="M397" i="1"/>
  <c r="M394" i="1"/>
  <c r="M398" i="1"/>
  <c r="M375" i="1"/>
  <c r="M376" i="1"/>
  <c r="M377" i="1"/>
  <c r="M378" i="1"/>
  <c r="M379" i="1"/>
  <c r="M380" i="1"/>
  <c r="Q324" i="1"/>
  <c r="Q323" i="1"/>
  <c r="Q325" i="1"/>
  <c r="R279" i="1"/>
  <c r="R282" i="1"/>
  <c r="R278" i="1"/>
  <c r="R283" i="1"/>
  <c r="R280" i="1"/>
  <c r="R281" i="1"/>
  <c r="N412" i="1"/>
  <c r="N416" i="1"/>
  <c r="N415" i="1"/>
  <c r="N417" i="1"/>
  <c r="N413" i="1"/>
  <c r="N547" i="1"/>
  <c r="N549" i="1"/>
  <c r="N551" i="1"/>
  <c r="N552" i="1"/>
  <c r="H454" i="1"/>
  <c r="H457" i="1"/>
  <c r="H287" i="1"/>
  <c r="H290" i="1"/>
  <c r="H292" i="1"/>
  <c r="H289" i="1"/>
  <c r="H558" i="1"/>
  <c r="H560" i="1"/>
  <c r="H341" i="1"/>
  <c r="H343" i="1"/>
  <c r="H345" i="1"/>
  <c r="H347" i="1"/>
  <c r="H349" i="1"/>
  <c r="H342" i="1"/>
  <c r="H346" i="1"/>
  <c r="H348" i="1"/>
  <c r="H344" i="1"/>
  <c r="H492" i="1"/>
  <c r="H493" i="1"/>
  <c r="H494" i="1"/>
  <c r="H462" i="1"/>
  <c r="H464" i="1"/>
  <c r="H466" i="1"/>
  <c r="H461" i="1"/>
  <c r="H463" i="1"/>
  <c r="H465" i="1"/>
  <c r="H467" i="1"/>
  <c r="H547" i="1"/>
  <c r="H549" i="1"/>
  <c r="H551" i="1"/>
  <c r="H552" i="1"/>
  <c r="H279" i="1"/>
  <c r="H282" i="1"/>
  <c r="H281" i="1"/>
  <c r="H278" i="1"/>
  <c r="H283" i="1"/>
  <c r="H280" i="1"/>
  <c r="J298" i="1"/>
  <c r="J299" i="1"/>
  <c r="J300" i="1"/>
  <c r="J301" i="1"/>
  <c r="J302" i="1"/>
  <c r="Q492" i="1"/>
  <c r="Q493" i="1"/>
  <c r="Q494" i="1"/>
  <c r="Q508" i="1"/>
  <c r="Q510" i="1"/>
  <c r="Q512" i="1"/>
  <c r="Q514" i="1"/>
  <c r="Q513" i="1"/>
  <c r="Q504" i="1"/>
  <c r="Q500" i="1"/>
  <c r="Q502" i="1"/>
  <c r="Q501" i="1"/>
  <c r="Q503" i="1"/>
  <c r="Q499" i="1"/>
  <c r="L722" i="1"/>
  <c r="L726" i="1"/>
  <c r="L725" i="1"/>
  <c r="L724" i="1"/>
  <c r="L728" i="1"/>
  <c r="R528" i="1"/>
  <c r="R529" i="1"/>
  <c r="R531" i="1"/>
  <c r="R533" i="1"/>
  <c r="R566" i="1"/>
  <c r="R568" i="1"/>
  <c r="R564" i="1"/>
  <c r="N46" i="1"/>
  <c r="R299" i="1"/>
  <c r="R302" i="1"/>
  <c r="R300" i="1"/>
  <c r="R298" i="1"/>
  <c r="R301" i="1"/>
  <c r="L266" i="1"/>
  <c r="L270" i="1"/>
  <c r="L271" i="1"/>
  <c r="L269" i="1"/>
  <c r="L265" i="1"/>
  <c r="M266" i="1"/>
  <c r="M270" i="1"/>
  <c r="M271" i="1"/>
  <c r="M265" i="1"/>
  <c r="M269" i="1"/>
  <c r="G499" i="1"/>
  <c r="G500" i="1"/>
  <c r="G501" i="1"/>
  <c r="G502" i="1"/>
  <c r="G503" i="1"/>
  <c r="G504" i="1"/>
  <c r="G552" i="1"/>
  <c r="G549" i="1"/>
  <c r="G547" i="1"/>
  <c r="G551" i="1"/>
  <c r="G367" i="1"/>
  <c r="G366" i="1"/>
  <c r="G368" i="1"/>
  <c r="G370" i="1"/>
  <c r="G371" i="1"/>
  <c r="G369" i="1"/>
  <c r="G573" i="1"/>
  <c r="G574" i="1"/>
  <c r="L406" i="1"/>
  <c r="L403" i="1"/>
  <c r="L407" i="1"/>
  <c r="L405" i="1"/>
  <c r="L394" i="1"/>
  <c r="L396" i="1"/>
  <c r="L398" i="1"/>
  <c r="L397" i="1"/>
  <c r="L455" i="1"/>
  <c r="L456" i="1"/>
  <c r="L457" i="1"/>
  <c r="L454" i="1"/>
  <c r="Q455" i="1"/>
  <c r="Q457" i="1"/>
  <c r="Q454" i="1"/>
  <c r="Q456" i="1"/>
  <c r="Q375" i="1"/>
  <c r="Q379" i="1"/>
  <c r="Q376" i="1"/>
  <c r="Q378" i="1"/>
  <c r="Q380" i="1"/>
  <c r="Q377" i="1"/>
  <c r="Q424" i="1"/>
  <c r="Q428" i="1"/>
  <c r="Q422" i="1"/>
  <c r="Q425" i="1"/>
  <c r="Q423" i="1"/>
  <c r="Q427" i="1"/>
  <c r="Q426" i="1"/>
  <c r="F549" i="1"/>
  <c r="F547" i="1"/>
  <c r="F552" i="1"/>
  <c r="F551" i="1"/>
  <c r="F481" i="1"/>
  <c r="F486" i="1"/>
  <c r="F483" i="1"/>
  <c r="F482" i="1"/>
  <c r="F484" i="1"/>
  <c r="F485" i="1"/>
  <c r="F540" i="1"/>
  <c r="F542" i="1"/>
  <c r="F538" i="1"/>
  <c r="F543" i="1"/>
  <c r="F558" i="1"/>
  <c r="F560" i="1"/>
  <c r="R398" i="1"/>
  <c r="R397" i="1"/>
  <c r="R394" i="1"/>
  <c r="R396" i="1"/>
  <c r="R422" i="1"/>
  <c r="R423" i="1"/>
  <c r="R424" i="1"/>
  <c r="R425" i="1"/>
  <c r="R426" i="1"/>
  <c r="R427" i="1"/>
  <c r="R428" i="1"/>
  <c r="R454" i="1"/>
  <c r="R456" i="1"/>
  <c r="R455" i="1"/>
  <c r="R457" i="1"/>
  <c r="J316" i="1"/>
  <c r="J315" i="1"/>
  <c r="J317" i="1"/>
  <c r="G287" i="1"/>
  <c r="G289" i="1"/>
  <c r="G290" i="1"/>
  <c r="G292" i="1"/>
  <c r="N278" i="1"/>
  <c r="N280" i="1"/>
  <c r="N281" i="1"/>
  <c r="N283" i="1"/>
  <c r="N279" i="1"/>
  <c r="N282" i="1"/>
  <c r="J573" i="1"/>
  <c r="J574" i="1"/>
  <c r="O552" i="1"/>
  <c r="O547" i="1"/>
  <c r="O551" i="1"/>
  <c r="O549" i="1"/>
  <c r="O520" i="1"/>
  <c r="O524" i="1"/>
  <c r="O518" i="1"/>
  <c r="O519" i="1"/>
  <c r="O521" i="1"/>
  <c r="O522" i="1"/>
  <c r="O523" i="1"/>
  <c r="M853" i="1"/>
  <c r="M855" i="1"/>
  <c r="M854" i="1"/>
  <c r="M852" i="1"/>
  <c r="I324" i="1"/>
  <c r="I325" i="1"/>
  <c r="I323" i="1"/>
  <c r="M528" i="1"/>
  <c r="M529" i="1"/>
  <c r="M531" i="1"/>
  <c r="M533" i="1"/>
  <c r="M432" i="1"/>
  <c r="M435" i="1"/>
  <c r="M437" i="1"/>
  <c r="M434" i="1"/>
  <c r="M438" i="1"/>
  <c r="M386" i="1"/>
  <c r="M388" i="1"/>
  <c r="M390" i="1"/>
  <c r="M385" i="1"/>
  <c r="M389" i="1"/>
  <c r="M387" i="1"/>
  <c r="J278" i="1"/>
  <c r="J280" i="1"/>
  <c r="J283" i="1"/>
  <c r="J281" i="1"/>
  <c r="J282" i="1"/>
  <c r="J279" i="1"/>
  <c r="N538" i="1"/>
  <c r="N540" i="1"/>
  <c r="N542" i="1"/>
  <c r="N543" i="1"/>
  <c r="H366" i="1"/>
  <c r="H368" i="1"/>
  <c r="H370" i="1"/>
  <c r="H371" i="1"/>
  <c r="H367" i="1"/>
  <c r="H369" i="1"/>
  <c r="H531" i="1"/>
  <c r="H528" i="1"/>
  <c r="H529" i="1"/>
  <c r="H533" i="1"/>
  <c r="H390" i="1"/>
  <c r="H388" i="1"/>
  <c r="H387" i="1"/>
  <c r="H385" i="1"/>
  <c r="H386" i="1"/>
  <c r="H389" i="1"/>
  <c r="H471" i="1"/>
  <c r="H472" i="1"/>
  <c r="H473" i="1"/>
  <c r="H474" i="1"/>
  <c r="H476" i="1"/>
  <c r="H477" i="1"/>
  <c r="H475" i="1"/>
  <c r="H325" i="1"/>
  <c r="H324" i="1"/>
  <c r="H323" i="1"/>
  <c r="H302" i="1"/>
  <c r="H298" i="1"/>
  <c r="H300" i="1"/>
  <c r="H299" i="1"/>
  <c r="H301" i="1"/>
  <c r="H540" i="1"/>
  <c r="H542" i="1"/>
  <c r="H543" i="1"/>
  <c r="H538" i="1"/>
  <c r="H316" i="1"/>
  <c r="H315" i="1"/>
  <c r="H317" i="1"/>
  <c r="F912" i="1"/>
  <c r="Q552" i="1"/>
  <c r="Q547" i="1"/>
  <c r="Q551" i="1"/>
  <c r="Q549" i="1"/>
  <c r="Q518" i="1"/>
  <c r="Q519" i="1"/>
  <c r="Q520" i="1"/>
  <c r="Q521" i="1"/>
  <c r="Q522" i="1"/>
  <c r="Q523" i="1"/>
  <c r="Q524" i="1"/>
  <c r="R508" i="1"/>
  <c r="R510" i="1"/>
  <c r="R512" i="1"/>
  <c r="R514" i="1"/>
  <c r="R513" i="1"/>
  <c r="R499" i="1"/>
  <c r="R500" i="1"/>
  <c r="R501" i="1"/>
  <c r="R502" i="1"/>
  <c r="R503" i="1"/>
  <c r="R504" i="1"/>
  <c r="R315" i="1"/>
  <c r="R317" i="1"/>
  <c r="R316" i="1"/>
  <c r="R306" i="1"/>
  <c r="R308" i="1"/>
  <c r="R309" i="1"/>
  <c r="L289" i="1"/>
  <c r="L292" i="1"/>
  <c r="L287" i="1"/>
  <c r="L290" i="1"/>
  <c r="G266" i="1"/>
  <c r="G270" i="1"/>
  <c r="G265" i="1"/>
  <c r="G269" i="1"/>
  <c r="G271" i="1"/>
  <c r="R287" i="1"/>
  <c r="R289" i="1"/>
  <c r="R292" i="1"/>
  <c r="R290" i="1"/>
  <c r="G538" i="1"/>
  <c r="G543" i="1"/>
  <c r="G540" i="1"/>
  <c r="G542" i="1"/>
  <c r="G518" i="1"/>
  <c r="G519" i="1"/>
  <c r="G520" i="1"/>
  <c r="G521" i="1"/>
  <c r="G522" i="1"/>
  <c r="G523" i="1"/>
  <c r="G524" i="1"/>
  <c r="G558" i="1"/>
  <c r="G560" i="1"/>
  <c r="G566" i="1"/>
  <c r="G568" i="1"/>
  <c r="L528" i="1"/>
  <c r="L529" i="1"/>
  <c r="L531" i="1"/>
  <c r="L533" i="1"/>
  <c r="L443" i="1"/>
  <c r="L445" i="1"/>
  <c r="L446" i="1"/>
  <c r="L385" i="1"/>
  <c r="L387" i="1"/>
  <c r="L389" i="1"/>
  <c r="L386" i="1"/>
  <c r="L390" i="1"/>
  <c r="L388" i="1"/>
  <c r="Q434" i="1"/>
  <c r="Q436" i="1"/>
  <c r="Q432" i="1"/>
  <c r="Q437" i="1"/>
  <c r="Q386" i="1"/>
  <c r="Q388" i="1"/>
  <c r="Q390" i="1"/>
  <c r="Q387" i="1"/>
  <c r="Q385" i="1"/>
  <c r="Q389" i="1"/>
  <c r="Q413" i="1"/>
  <c r="Q415" i="1"/>
  <c r="Q417" i="1"/>
  <c r="Q412" i="1"/>
  <c r="Q416" i="1"/>
  <c r="F533" i="1"/>
  <c r="F531" i="1"/>
  <c r="F528" i="1"/>
  <c r="F529" i="1"/>
  <c r="F521" i="1"/>
  <c r="F524" i="1"/>
  <c r="F523" i="1"/>
  <c r="F520" i="1"/>
  <c r="F518" i="1"/>
  <c r="F519" i="1"/>
  <c r="F522" i="1"/>
  <c r="F504" i="1"/>
  <c r="F503" i="1"/>
  <c r="F500" i="1"/>
  <c r="F502" i="1"/>
  <c r="F499" i="1"/>
  <c r="F501" i="1"/>
  <c r="F467" i="1"/>
  <c r="F464" i="1"/>
  <c r="F465" i="1"/>
  <c r="F462" i="1"/>
  <c r="F463" i="1"/>
  <c r="F461" i="1"/>
  <c r="F466" i="1"/>
  <c r="R376" i="1"/>
  <c r="R378" i="1"/>
  <c r="R380" i="1"/>
  <c r="R377" i="1"/>
  <c r="R375" i="1"/>
  <c r="R379" i="1"/>
  <c r="R413" i="1"/>
  <c r="R415" i="1"/>
  <c r="R417" i="1"/>
  <c r="R412" i="1"/>
  <c r="R416" i="1"/>
  <c r="R434" i="1"/>
  <c r="R436" i="1"/>
  <c r="R432" i="1"/>
  <c r="R437" i="1"/>
  <c r="R385" i="1"/>
  <c r="R387" i="1"/>
  <c r="R389" i="1"/>
  <c r="R388" i="1"/>
  <c r="R390" i="1"/>
  <c r="R386" i="1"/>
  <c r="N298" i="1"/>
  <c r="N299" i="1"/>
  <c r="N300" i="1"/>
  <c r="N301" i="1"/>
  <c r="N302" i="1"/>
  <c r="G281" i="1"/>
  <c r="G279" i="1"/>
  <c r="G282" i="1"/>
  <c r="G278" i="1"/>
  <c r="G283" i="1"/>
  <c r="G280" i="1"/>
  <c r="R266" i="1"/>
  <c r="R270" i="1"/>
  <c r="R265" i="1"/>
  <c r="R269" i="1"/>
  <c r="R271" i="1"/>
  <c r="J564" i="1"/>
  <c r="J568" i="1"/>
  <c r="J566" i="1"/>
  <c r="O528" i="1"/>
  <c r="O529" i="1"/>
  <c r="O531" i="1"/>
  <c r="O533" i="1"/>
  <c r="O573" i="1"/>
  <c r="O574" i="1"/>
  <c r="M573" i="1"/>
  <c r="M574" i="1"/>
  <c r="M422" i="1"/>
  <c r="M423" i="1"/>
  <c r="M424" i="1"/>
  <c r="M425" i="1"/>
  <c r="M426" i="1"/>
  <c r="M427" i="1"/>
  <c r="M428" i="1"/>
  <c r="M443" i="1"/>
  <c r="M445" i="1"/>
  <c r="M446" i="1"/>
  <c r="M518" i="1"/>
  <c r="M519" i="1"/>
  <c r="M520" i="1"/>
  <c r="M521" i="1"/>
  <c r="M522" i="1"/>
  <c r="M523" i="1"/>
  <c r="M524" i="1"/>
  <c r="I287" i="1"/>
  <c r="I289" i="1"/>
  <c r="I290" i="1"/>
  <c r="I292" i="1"/>
  <c r="N265" i="1"/>
  <c r="N269" i="1"/>
  <c r="N271" i="1"/>
  <c r="N266" i="1"/>
  <c r="N270" i="1"/>
  <c r="N513" i="1"/>
  <c r="N508" i="1"/>
  <c r="N512" i="1"/>
  <c r="N510" i="1"/>
  <c r="N514" i="1"/>
  <c r="H499" i="1"/>
  <c r="H501" i="1"/>
  <c r="H503" i="1"/>
  <c r="H500" i="1"/>
  <c r="H502" i="1"/>
  <c r="H504" i="1"/>
  <c r="H334" i="1"/>
  <c r="H330" i="1"/>
  <c r="H333" i="1"/>
  <c r="H427" i="1"/>
  <c r="H428" i="1"/>
  <c r="H426" i="1"/>
  <c r="H423" i="1"/>
  <c r="H425" i="1"/>
  <c r="H424" i="1"/>
  <c r="H422" i="1"/>
  <c r="H573" i="1"/>
  <c r="H574" i="1"/>
  <c r="H407" i="1"/>
  <c r="H405" i="1"/>
  <c r="H406" i="1"/>
  <c r="H403" i="1"/>
  <c r="H378" i="1"/>
  <c r="H377" i="1"/>
  <c r="H380" i="1"/>
  <c r="H376" i="1"/>
  <c r="H379" i="1"/>
  <c r="H375" i="1"/>
  <c r="H456" i="1"/>
  <c r="H446" i="1"/>
  <c r="H443" i="1"/>
  <c r="H455" i="1"/>
  <c r="H445" i="1"/>
  <c r="H353" i="1"/>
  <c r="H354" i="1"/>
  <c r="H355" i="1"/>
  <c r="H356" i="1"/>
  <c r="H357" i="1"/>
  <c r="H358" i="1"/>
  <c r="H359" i="1"/>
  <c r="H360" i="1"/>
  <c r="H361" i="1"/>
  <c r="H362" i="1"/>
  <c r="Q298" i="1"/>
  <c r="Q299" i="1"/>
  <c r="Q300" i="1"/>
  <c r="Q301" i="1"/>
  <c r="Q302" i="1"/>
  <c r="Q306" i="1"/>
  <c r="Q308" i="1"/>
  <c r="Q309" i="1"/>
  <c r="Q485" i="1"/>
  <c r="Q481" i="1"/>
  <c r="Q483" i="1"/>
  <c r="Q484" i="1"/>
  <c r="Q482" i="1"/>
  <c r="Q486" i="1"/>
  <c r="Q543" i="1"/>
  <c r="Q538" i="1"/>
  <c r="Q542" i="1"/>
  <c r="Q540" i="1"/>
  <c r="Q315" i="1"/>
  <c r="Q317" i="1"/>
  <c r="Q316" i="1"/>
  <c r="M724" i="1"/>
  <c r="M728" i="1"/>
  <c r="M723" i="1"/>
  <c r="M722" i="1"/>
  <c r="M726" i="1"/>
  <c r="R547" i="1"/>
  <c r="R549" i="1"/>
  <c r="R551" i="1"/>
  <c r="R552" i="1"/>
  <c r="R538" i="1"/>
  <c r="R540" i="1"/>
  <c r="R542" i="1"/>
  <c r="R543" i="1"/>
  <c r="R462" i="1"/>
  <c r="R464" i="1"/>
  <c r="R466" i="1"/>
  <c r="R461" i="1"/>
  <c r="R463" i="1"/>
  <c r="R465" i="1"/>
  <c r="R467" i="1"/>
  <c r="H46" i="1"/>
  <c r="G46" i="1"/>
  <c r="O46" i="1"/>
  <c r="F73" i="1"/>
  <c r="F382" i="1"/>
  <c r="G382" i="1"/>
  <c r="I382" i="1"/>
  <c r="J382" i="1"/>
  <c r="N382" i="1"/>
  <c r="O382" i="1"/>
  <c r="S382" i="1"/>
  <c r="T382" i="1"/>
  <c r="U382" i="1"/>
  <c r="I575" i="1"/>
  <c r="L575" i="1"/>
  <c r="N575" i="1"/>
  <c r="Q575" i="1"/>
  <c r="R575" i="1"/>
  <c r="S575" i="1"/>
  <c r="T575" i="1"/>
  <c r="U575" i="1"/>
  <c r="F575" i="1"/>
  <c r="H749" i="1" l="1"/>
  <c r="L781" i="1"/>
  <c r="H634" i="1"/>
  <c r="F272" i="1"/>
  <c r="G350" i="1"/>
  <c r="F55" i="1"/>
  <c r="F46" i="1"/>
  <c r="R666" i="1"/>
  <c r="H625" i="1"/>
  <c r="G230" i="1"/>
  <c r="M699" i="1"/>
  <c r="O224" i="1"/>
  <c r="H699" i="1"/>
  <c r="G247" i="1"/>
  <c r="L224" i="1"/>
  <c r="Q709" i="1"/>
  <c r="J709" i="1"/>
  <c r="I634" i="1"/>
  <c r="F63" i="1"/>
  <c r="O230" i="1"/>
  <c r="G224" i="1"/>
  <c r="F217" i="1"/>
  <c r="L146" i="1"/>
  <c r="F224" i="1"/>
  <c r="Q739" i="1"/>
  <c r="I643" i="1"/>
  <c r="Q699" i="1"/>
  <c r="R699" i="1"/>
  <c r="N230" i="1"/>
  <c r="J634" i="1"/>
  <c r="H93" i="1"/>
  <c r="J46" i="1"/>
  <c r="F230" i="1"/>
  <c r="F606" i="1"/>
  <c r="L699" i="1"/>
  <c r="N224" i="1"/>
  <c r="G93" i="1"/>
  <c r="M146" i="1"/>
  <c r="F653" i="1"/>
  <c r="F93" i="1"/>
  <c r="H616" i="1"/>
  <c r="R93" i="1"/>
  <c r="H146" i="1"/>
  <c r="H575" i="1"/>
  <c r="M575" i="1"/>
  <c r="M382" i="1"/>
  <c r="H382" i="1"/>
  <c r="H879" i="1"/>
  <c r="H544" i="1"/>
  <c r="R382" i="1"/>
  <c r="G570" i="1"/>
  <c r="L382" i="1"/>
  <c r="M46" i="1"/>
  <c r="J575" i="1"/>
  <c r="R350" i="1"/>
  <c r="F372" i="1"/>
  <c r="Q382" i="1"/>
  <c r="G575" i="1"/>
  <c r="F879" i="1"/>
  <c r="O544" i="1"/>
  <c r="G544" i="1"/>
  <c r="F544" i="1"/>
  <c r="O879" i="1"/>
  <c r="Q544" i="1"/>
  <c r="G879" i="1"/>
  <c r="L458" i="1"/>
  <c r="N544" i="1"/>
  <c r="R544" i="1"/>
  <c r="R879" i="1"/>
  <c r="N879" i="1"/>
  <c r="Q879" i="1"/>
  <c r="Q46" i="1"/>
  <c r="R46" i="1"/>
  <c r="O575" i="1"/>
  <c r="Q606" i="1"/>
  <c r="Q594" i="1"/>
  <c r="R678" i="1"/>
  <c r="F363" i="1"/>
  <c r="Z23" i="4" l="1"/>
  <c r="U678" i="1"/>
  <c r="T678" i="1"/>
  <c r="S678" i="1"/>
  <c r="Q678" i="1"/>
  <c r="O678" i="1"/>
  <c r="N678" i="1"/>
  <c r="M678" i="1"/>
  <c r="L678" i="1"/>
  <c r="J678" i="1"/>
  <c r="I678" i="1"/>
  <c r="H678" i="1"/>
  <c r="G678" i="1"/>
  <c r="F678" i="1"/>
  <c r="S581" i="1" l="1"/>
  <c r="T581" i="1"/>
  <c r="U581" i="1"/>
  <c r="F400" i="1"/>
  <c r="U363" i="1"/>
  <c r="T363" i="1"/>
  <c r="S363" i="1"/>
  <c r="R363" i="1"/>
  <c r="Q363" i="1"/>
  <c r="H363" i="1"/>
  <c r="G363" i="1"/>
  <c r="M256" i="1" l="1"/>
  <c r="M581" i="1"/>
  <c r="G525" i="1"/>
  <c r="H525" i="1"/>
  <c r="I525" i="1"/>
  <c r="J525" i="1"/>
  <c r="L525" i="1"/>
  <c r="M525" i="1"/>
  <c r="N525" i="1"/>
  <c r="O525" i="1"/>
  <c r="Q525" i="1"/>
  <c r="R525" i="1"/>
  <c r="S525" i="1"/>
  <c r="T525" i="1"/>
  <c r="U525" i="1"/>
  <c r="F525" i="1"/>
  <c r="G515" i="1"/>
  <c r="H515" i="1"/>
  <c r="I515" i="1"/>
  <c r="J515" i="1"/>
  <c r="L515" i="1"/>
  <c r="M515" i="1"/>
  <c r="N515" i="1"/>
  <c r="O515" i="1"/>
  <c r="Q515" i="1"/>
  <c r="R515" i="1"/>
  <c r="S515" i="1"/>
  <c r="T515" i="1"/>
  <c r="U515" i="1"/>
  <c r="F515" i="1"/>
  <c r="S932" i="1"/>
  <c r="S934" i="1" s="1"/>
  <c r="T932" i="1"/>
  <c r="T934" i="1" s="1"/>
  <c r="U932" i="1"/>
  <c r="U934" i="1" s="1"/>
  <c r="S912" i="1"/>
  <c r="T912" i="1"/>
  <c r="U912" i="1"/>
  <c r="U909" i="1"/>
  <c r="T909" i="1"/>
  <c r="S909" i="1"/>
  <c r="R909" i="1"/>
  <c r="Q909" i="1"/>
  <c r="O909" i="1"/>
  <c r="N909" i="1"/>
  <c r="M909" i="1"/>
  <c r="L909" i="1"/>
  <c r="J909" i="1"/>
  <c r="I909" i="1"/>
  <c r="H909" i="1"/>
  <c r="G909" i="1"/>
  <c r="F909" i="1"/>
  <c r="G899" i="1"/>
  <c r="H899" i="1"/>
  <c r="I899" i="1"/>
  <c r="J899" i="1"/>
  <c r="L899" i="1"/>
  <c r="M899" i="1"/>
  <c r="N899" i="1"/>
  <c r="O899" i="1"/>
  <c r="Q899" i="1"/>
  <c r="R899" i="1"/>
  <c r="S899" i="1"/>
  <c r="T899" i="1"/>
  <c r="U899" i="1"/>
  <c r="F899" i="1"/>
  <c r="U889" i="1"/>
  <c r="T889" i="1"/>
  <c r="S889" i="1"/>
  <c r="R889" i="1"/>
  <c r="Q889" i="1"/>
  <c r="O889" i="1"/>
  <c r="N889" i="1"/>
  <c r="M889" i="1"/>
  <c r="L889" i="1"/>
  <c r="J889" i="1"/>
  <c r="I889" i="1"/>
  <c r="H889" i="1"/>
  <c r="G889" i="1"/>
  <c r="F889" i="1"/>
  <c r="U869" i="1"/>
  <c r="T869" i="1"/>
  <c r="S869" i="1"/>
  <c r="R869" i="1"/>
  <c r="Q869" i="1"/>
  <c r="O869" i="1"/>
  <c r="N869" i="1"/>
  <c r="M869" i="1"/>
  <c r="L869" i="1"/>
  <c r="J869" i="1"/>
  <c r="I869" i="1"/>
  <c r="H869" i="1"/>
  <c r="G869" i="1"/>
  <c r="F869" i="1"/>
  <c r="U858" i="1"/>
  <c r="T858" i="1"/>
  <c r="S858" i="1"/>
  <c r="R858" i="1"/>
  <c r="Q858" i="1"/>
  <c r="O858" i="1"/>
  <c r="N858" i="1"/>
  <c r="M858" i="1"/>
  <c r="L858" i="1"/>
  <c r="J858" i="1"/>
  <c r="I858" i="1"/>
  <c r="H858" i="1"/>
  <c r="G858" i="1"/>
  <c r="F858" i="1"/>
  <c r="U847" i="1"/>
  <c r="T847" i="1"/>
  <c r="S847" i="1"/>
  <c r="R847" i="1"/>
  <c r="Q847" i="1"/>
  <c r="O847" i="1"/>
  <c r="N847" i="1"/>
  <c r="M847" i="1"/>
  <c r="L847" i="1"/>
  <c r="J847" i="1"/>
  <c r="I847" i="1"/>
  <c r="H847" i="1"/>
  <c r="G847" i="1"/>
  <c r="F847" i="1"/>
  <c r="U836" i="1"/>
  <c r="T836" i="1"/>
  <c r="S836" i="1"/>
  <c r="R836" i="1"/>
  <c r="Q836" i="1"/>
  <c r="O836" i="1"/>
  <c r="N836" i="1"/>
  <c r="M836" i="1"/>
  <c r="L836" i="1"/>
  <c r="J836" i="1"/>
  <c r="I836" i="1"/>
  <c r="H836" i="1"/>
  <c r="G836" i="1"/>
  <c r="F836" i="1"/>
  <c r="U825" i="1"/>
  <c r="T825" i="1"/>
  <c r="S825" i="1"/>
  <c r="R825" i="1"/>
  <c r="Q825" i="1"/>
  <c r="O825" i="1"/>
  <c r="N825" i="1"/>
  <c r="M825" i="1"/>
  <c r="L825" i="1"/>
  <c r="J825" i="1"/>
  <c r="I825" i="1"/>
  <c r="H825" i="1"/>
  <c r="G825" i="1"/>
  <c r="F825" i="1"/>
  <c r="G814" i="1"/>
  <c r="H814" i="1"/>
  <c r="I814" i="1"/>
  <c r="J814" i="1"/>
  <c r="L814" i="1"/>
  <c r="M814" i="1"/>
  <c r="N814" i="1"/>
  <c r="O814" i="1"/>
  <c r="Q814" i="1"/>
  <c r="R814" i="1"/>
  <c r="S814" i="1"/>
  <c r="T814" i="1"/>
  <c r="U814" i="1"/>
  <c r="F814" i="1"/>
  <c r="G803" i="1"/>
  <c r="H803" i="1"/>
  <c r="I803" i="1"/>
  <c r="J803" i="1"/>
  <c r="L803" i="1"/>
  <c r="M803" i="1"/>
  <c r="N803" i="1"/>
  <c r="O803" i="1"/>
  <c r="Q803" i="1"/>
  <c r="R803" i="1"/>
  <c r="S803" i="1"/>
  <c r="T803" i="1"/>
  <c r="U803" i="1"/>
  <c r="F803" i="1"/>
  <c r="G792" i="1"/>
  <c r="H792" i="1"/>
  <c r="I792" i="1"/>
  <c r="J792" i="1"/>
  <c r="L792" i="1"/>
  <c r="M792" i="1"/>
  <c r="N792" i="1"/>
  <c r="O792" i="1"/>
  <c r="Q792" i="1"/>
  <c r="R792" i="1"/>
  <c r="S792" i="1"/>
  <c r="T792" i="1"/>
  <c r="U792" i="1"/>
  <c r="F792" i="1"/>
  <c r="U781" i="1"/>
  <c r="T781" i="1"/>
  <c r="S781" i="1"/>
  <c r="R781" i="1"/>
  <c r="Q781" i="1"/>
  <c r="O781" i="1"/>
  <c r="N781" i="1"/>
  <c r="M781" i="1"/>
  <c r="J781" i="1"/>
  <c r="I781" i="1"/>
  <c r="H781" i="1"/>
  <c r="G781" i="1"/>
  <c r="F781" i="1"/>
  <c r="U770" i="1"/>
  <c r="T770" i="1"/>
  <c r="S770" i="1"/>
  <c r="R770" i="1"/>
  <c r="Q770" i="1"/>
  <c r="O770" i="1"/>
  <c r="N770" i="1"/>
  <c r="M770" i="1"/>
  <c r="L770" i="1"/>
  <c r="J770" i="1"/>
  <c r="I770" i="1"/>
  <c r="H770" i="1"/>
  <c r="G770" i="1"/>
  <c r="F770" i="1"/>
  <c r="U759" i="1"/>
  <c r="T759" i="1"/>
  <c r="S759" i="1"/>
  <c r="R759" i="1"/>
  <c r="Q759" i="1"/>
  <c r="O759" i="1"/>
  <c r="N759" i="1"/>
  <c r="M759" i="1"/>
  <c r="L759" i="1"/>
  <c r="J759" i="1"/>
  <c r="I759" i="1"/>
  <c r="H759" i="1"/>
  <c r="G759" i="1"/>
  <c r="F759" i="1"/>
  <c r="U749" i="1"/>
  <c r="T749" i="1"/>
  <c r="S749" i="1"/>
  <c r="R749" i="1"/>
  <c r="Q749" i="1"/>
  <c r="O749" i="1"/>
  <c r="N749" i="1"/>
  <c r="M749" i="1"/>
  <c r="L749" i="1"/>
  <c r="J749" i="1"/>
  <c r="I749" i="1"/>
  <c r="G749" i="1"/>
  <c r="F749" i="1"/>
  <c r="G739" i="1"/>
  <c r="H739" i="1"/>
  <c r="I739" i="1"/>
  <c r="J739" i="1"/>
  <c r="L739" i="1"/>
  <c r="M739" i="1"/>
  <c r="N739" i="1"/>
  <c r="O739" i="1"/>
  <c r="R739" i="1"/>
  <c r="S739" i="1"/>
  <c r="T739" i="1"/>
  <c r="U739" i="1"/>
  <c r="F739" i="1"/>
  <c r="U729" i="1"/>
  <c r="T729" i="1"/>
  <c r="S729" i="1"/>
  <c r="R729" i="1"/>
  <c r="Q729" i="1"/>
  <c r="O729" i="1"/>
  <c r="N729" i="1"/>
  <c r="M729" i="1"/>
  <c r="L729" i="1"/>
  <c r="J729" i="1"/>
  <c r="I729" i="1"/>
  <c r="H729" i="1"/>
  <c r="G729" i="1"/>
  <c r="F729" i="1"/>
  <c r="U719" i="1"/>
  <c r="T719" i="1"/>
  <c r="S719" i="1"/>
  <c r="R719" i="1"/>
  <c r="Q719" i="1"/>
  <c r="O719" i="1"/>
  <c r="N719" i="1"/>
  <c r="M719" i="1"/>
  <c r="L719" i="1"/>
  <c r="J719" i="1"/>
  <c r="I719" i="1"/>
  <c r="H719" i="1"/>
  <c r="G719" i="1"/>
  <c r="F719" i="1"/>
  <c r="G709" i="1"/>
  <c r="H709" i="1"/>
  <c r="I709" i="1"/>
  <c r="L709" i="1"/>
  <c r="M709" i="1"/>
  <c r="N709" i="1"/>
  <c r="O709" i="1"/>
  <c r="R709" i="1"/>
  <c r="S709" i="1"/>
  <c r="T709" i="1"/>
  <c r="U709" i="1"/>
  <c r="F699" i="1"/>
  <c r="F709" i="1"/>
  <c r="U688" i="1"/>
  <c r="T688" i="1"/>
  <c r="S688" i="1"/>
  <c r="R688" i="1"/>
  <c r="Q688" i="1"/>
  <c r="O688" i="1"/>
  <c r="N688" i="1"/>
  <c r="M688" i="1"/>
  <c r="L688" i="1"/>
  <c r="J688" i="1"/>
  <c r="I688" i="1"/>
  <c r="H688" i="1"/>
  <c r="G688" i="1"/>
  <c r="F688" i="1"/>
  <c r="U666" i="1"/>
  <c r="T666" i="1"/>
  <c r="S666" i="1"/>
  <c r="Q666" i="1"/>
  <c r="O666" i="1"/>
  <c r="N666" i="1"/>
  <c r="M666" i="1"/>
  <c r="L666" i="1"/>
  <c r="J666" i="1"/>
  <c r="I666" i="1"/>
  <c r="H666" i="1"/>
  <c r="G666" i="1"/>
  <c r="F666" i="1"/>
  <c r="G653" i="1"/>
  <c r="H653" i="1"/>
  <c r="I653" i="1"/>
  <c r="J653" i="1"/>
  <c r="L653" i="1"/>
  <c r="M653" i="1"/>
  <c r="N653" i="1"/>
  <c r="O653" i="1"/>
  <c r="Q653" i="1"/>
  <c r="R653" i="1"/>
  <c r="S653" i="1"/>
  <c r="T653" i="1"/>
  <c r="U653" i="1"/>
  <c r="F643" i="1"/>
  <c r="U643" i="1"/>
  <c r="T643" i="1"/>
  <c r="S643" i="1"/>
  <c r="R643" i="1"/>
  <c r="Q643" i="1"/>
  <c r="O643" i="1"/>
  <c r="N643" i="1"/>
  <c r="M643" i="1"/>
  <c r="L643" i="1"/>
  <c r="J643" i="1"/>
  <c r="H643" i="1"/>
  <c r="G643" i="1"/>
  <c r="U634" i="1"/>
  <c r="T634" i="1"/>
  <c r="S634" i="1"/>
  <c r="R634" i="1"/>
  <c r="Q634" i="1"/>
  <c r="O634" i="1"/>
  <c r="N634" i="1"/>
  <c r="M634" i="1"/>
  <c r="L634" i="1"/>
  <c r="G634" i="1"/>
  <c r="F634" i="1"/>
  <c r="U625" i="1"/>
  <c r="T625" i="1"/>
  <c r="S625" i="1"/>
  <c r="R625" i="1"/>
  <c r="Q625" i="1"/>
  <c r="O625" i="1"/>
  <c r="N625" i="1"/>
  <c r="M625" i="1"/>
  <c r="L625" i="1"/>
  <c r="J625" i="1"/>
  <c r="I625" i="1"/>
  <c r="G625" i="1"/>
  <c r="F625" i="1"/>
  <c r="U616" i="1"/>
  <c r="T616" i="1"/>
  <c r="S616" i="1"/>
  <c r="R616" i="1"/>
  <c r="Q616" i="1"/>
  <c r="M616" i="1"/>
  <c r="L616" i="1"/>
  <c r="J616" i="1"/>
  <c r="I616" i="1"/>
  <c r="G616" i="1"/>
  <c r="F616" i="1"/>
  <c r="T606" i="1"/>
  <c r="G606" i="1"/>
  <c r="H606" i="1"/>
  <c r="I606" i="1"/>
  <c r="J606" i="1"/>
  <c r="L606" i="1"/>
  <c r="M606" i="1"/>
  <c r="N606" i="1"/>
  <c r="O606" i="1"/>
  <c r="R606" i="1"/>
  <c r="S606" i="1"/>
  <c r="U606" i="1"/>
  <c r="M919" i="1"/>
  <c r="S919" i="1"/>
  <c r="T919" i="1"/>
  <c r="U919" i="1"/>
  <c r="G594" i="1"/>
  <c r="H594" i="1"/>
  <c r="I594" i="1"/>
  <c r="J594" i="1"/>
  <c r="L594" i="1"/>
  <c r="M594" i="1"/>
  <c r="N594" i="1"/>
  <c r="O594" i="1"/>
  <c r="R594" i="1"/>
  <c r="S594" i="1"/>
  <c r="T594" i="1"/>
  <c r="U594" i="1"/>
  <c r="F594" i="1"/>
  <c r="G311" i="1"/>
  <c r="U570" i="1"/>
  <c r="T570" i="1"/>
  <c r="S570" i="1"/>
  <c r="R570" i="1"/>
  <c r="Q570" i="1"/>
  <c r="O570" i="1"/>
  <c r="O608" i="1" s="1"/>
  <c r="O917" i="1" s="1"/>
  <c r="N570" i="1"/>
  <c r="N608" i="1" s="1"/>
  <c r="N917" i="1" s="1"/>
  <c r="N919" i="1" s="1"/>
  <c r="M570" i="1"/>
  <c r="L570" i="1"/>
  <c r="J570" i="1"/>
  <c r="I570" i="1"/>
  <c r="H570" i="1"/>
  <c r="F570" i="1"/>
  <c r="G561" i="1"/>
  <c r="H561" i="1"/>
  <c r="I561" i="1"/>
  <c r="J561" i="1"/>
  <c r="L561" i="1"/>
  <c r="M561" i="1"/>
  <c r="N561" i="1"/>
  <c r="O561" i="1"/>
  <c r="Q561" i="1"/>
  <c r="R561" i="1"/>
  <c r="S561" i="1"/>
  <c r="T561" i="1"/>
  <c r="U561" i="1"/>
  <c r="F561" i="1"/>
  <c r="U553" i="1"/>
  <c r="T553" i="1"/>
  <c r="S553" i="1"/>
  <c r="R553" i="1"/>
  <c r="Q553" i="1"/>
  <c r="O553" i="1"/>
  <c r="N553" i="1"/>
  <c r="M553" i="1"/>
  <c r="L553" i="1"/>
  <c r="J553" i="1"/>
  <c r="I553" i="1"/>
  <c r="H553" i="1"/>
  <c r="G553" i="1"/>
  <c r="F553" i="1"/>
  <c r="U535" i="1"/>
  <c r="T535" i="1"/>
  <c r="S535" i="1"/>
  <c r="R535" i="1"/>
  <c r="Q535" i="1"/>
  <c r="O535" i="1"/>
  <c r="M535" i="1"/>
  <c r="L535" i="1"/>
  <c r="J535" i="1"/>
  <c r="I535" i="1"/>
  <c r="H535" i="1"/>
  <c r="G535" i="1"/>
  <c r="F535" i="1"/>
  <c r="U505" i="1"/>
  <c r="T505" i="1"/>
  <c r="S505" i="1"/>
  <c r="R505" i="1"/>
  <c r="Q505" i="1"/>
  <c r="O505" i="1"/>
  <c r="N505" i="1"/>
  <c r="M505" i="1"/>
  <c r="L505" i="1"/>
  <c r="J505" i="1"/>
  <c r="I505" i="1"/>
  <c r="H505" i="1"/>
  <c r="G505" i="1"/>
  <c r="F505" i="1"/>
  <c r="G496" i="1"/>
  <c r="H496" i="1"/>
  <c r="I496" i="1"/>
  <c r="J496" i="1"/>
  <c r="L496" i="1"/>
  <c r="M496" i="1"/>
  <c r="N496" i="1"/>
  <c r="O496" i="1"/>
  <c r="Q496" i="1"/>
  <c r="R496" i="1"/>
  <c r="S496" i="1"/>
  <c r="T496" i="1"/>
  <c r="U496" i="1"/>
  <c r="F496" i="1"/>
  <c r="Q487" i="1"/>
  <c r="S487" i="1"/>
  <c r="G487" i="1"/>
  <c r="H487" i="1"/>
  <c r="I487" i="1"/>
  <c r="J487" i="1"/>
  <c r="L487" i="1"/>
  <c r="M487" i="1"/>
  <c r="N487" i="1"/>
  <c r="O487" i="1"/>
  <c r="R487" i="1"/>
  <c r="T487" i="1"/>
  <c r="U487" i="1"/>
  <c r="F487" i="1"/>
  <c r="G478" i="1"/>
  <c r="H478" i="1"/>
  <c r="I478" i="1"/>
  <c r="J478" i="1"/>
  <c r="L478" i="1"/>
  <c r="M478" i="1"/>
  <c r="N478" i="1"/>
  <c r="O478" i="1"/>
  <c r="Q478" i="1"/>
  <c r="R478" i="1"/>
  <c r="S478" i="1"/>
  <c r="T478" i="1"/>
  <c r="U478" i="1"/>
  <c r="F478" i="1"/>
  <c r="G468" i="1"/>
  <c r="H468" i="1"/>
  <c r="I468" i="1"/>
  <c r="J468" i="1"/>
  <c r="L468" i="1"/>
  <c r="M468" i="1"/>
  <c r="N468" i="1"/>
  <c r="O468" i="1"/>
  <c r="Q468" i="1"/>
  <c r="R468" i="1"/>
  <c r="S468" i="1"/>
  <c r="T468" i="1"/>
  <c r="U468" i="1"/>
  <c r="F468" i="1"/>
  <c r="J449" i="1"/>
  <c r="I458" i="1"/>
  <c r="U458" i="1"/>
  <c r="T458" i="1"/>
  <c r="S458" i="1"/>
  <c r="R458" i="1"/>
  <c r="Q458" i="1"/>
  <c r="O458" i="1"/>
  <c r="N458" i="1"/>
  <c r="M458" i="1"/>
  <c r="J458" i="1"/>
  <c r="H458" i="1"/>
  <c r="G458" i="1"/>
  <c r="F458" i="1"/>
  <c r="U449" i="1"/>
  <c r="T449" i="1"/>
  <c r="S449" i="1"/>
  <c r="R449" i="1"/>
  <c r="Q449" i="1"/>
  <c r="O449" i="1"/>
  <c r="N449" i="1"/>
  <c r="M449" i="1"/>
  <c r="L449" i="1"/>
  <c r="I449" i="1"/>
  <c r="H449" i="1"/>
  <c r="G449" i="1"/>
  <c r="F449" i="1"/>
  <c r="U439" i="1"/>
  <c r="T439" i="1"/>
  <c r="S439" i="1"/>
  <c r="R439" i="1"/>
  <c r="Q439" i="1"/>
  <c r="O439" i="1"/>
  <c r="N439" i="1"/>
  <c r="M439" i="1"/>
  <c r="L439" i="1"/>
  <c r="J439" i="1"/>
  <c r="I439" i="1"/>
  <c r="H439" i="1"/>
  <c r="G439" i="1"/>
  <c r="F439" i="1"/>
  <c r="U429" i="1"/>
  <c r="T429" i="1"/>
  <c r="S429" i="1"/>
  <c r="R429" i="1"/>
  <c r="Q429" i="1"/>
  <c r="O429" i="1"/>
  <c r="N429" i="1"/>
  <c r="M429" i="1"/>
  <c r="L429" i="1"/>
  <c r="J429" i="1"/>
  <c r="I429" i="1"/>
  <c r="H429" i="1"/>
  <c r="G429" i="1"/>
  <c r="F429" i="1"/>
  <c r="G419" i="1"/>
  <c r="H419" i="1"/>
  <c r="I419" i="1"/>
  <c r="J419" i="1"/>
  <c r="L419" i="1"/>
  <c r="M419" i="1"/>
  <c r="N419" i="1"/>
  <c r="O419" i="1"/>
  <c r="Q419" i="1"/>
  <c r="R419" i="1"/>
  <c r="S419" i="1"/>
  <c r="T419" i="1"/>
  <c r="U419" i="1"/>
  <c r="F419" i="1"/>
  <c r="H409" i="1"/>
  <c r="U409" i="1"/>
  <c r="T409" i="1"/>
  <c r="S409" i="1"/>
  <c r="R409" i="1"/>
  <c r="Q409" i="1"/>
  <c r="O409" i="1"/>
  <c r="N409" i="1"/>
  <c r="M409" i="1"/>
  <c r="L409" i="1"/>
  <c r="J409" i="1"/>
  <c r="I409" i="1"/>
  <c r="G409" i="1"/>
  <c r="F409" i="1"/>
  <c r="G400" i="1"/>
  <c r="H400" i="1"/>
  <c r="I400" i="1"/>
  <c r="J400" i="1"/>
  <c r="L400" i="1"/>
  <c r="M400" i="1"/>
  <c r="N400" i="1"/>
  <c r="O400" i="1"/>
  <c r="Q400" i="1"/>
  <c r="R400" i="1"/>
  <c r="S400" i="1"/>
  <c r="T400" i="1"/>
  <c r="U400" i="1"/>
  <c r="G391" i="1"/>
  <c r="H391" i="1"/>
  <c r="I391" i="1"/>
  <c r="J391" i="1"/>
  <c r="L391" i="1"/>
  <c r="M391" i="1"/>
  <c r="N391" i="1"/>
  <c r="O391" i="1"/>
  <c r="Q391" i="1"/>
  <c r="R391" i="1"/>
  <c r="S391" i="1"/>
  <c r="T391" i="1"/>
  <c r="U391" i="1"/>
  <c r="F391" i="1"/>
  <c r="J372" i="1"/>
  <c r="H337" i="1"/>
  <c r="F350" i="1"/>
  <c r="U372" i="1"/>
  <c r="T372" i="1"/>
  <c r="S372" i="1"/>
  <c r="R372" i="1"/>
  <c r="Q372" i="1"/>
  <c r="O372" i="1"/>
  <c r="N372" i="1"/>
  <c r="M372" i="1"/>
  <c r="L372" i="1"/>
  <c r="I372" i="1"/>
  <c r="H372" i="1"/>
  <c r="G372" i="1"/>
  <c r="U350" i="1"/>
  <c r="T350" i="1"/>
  <c r="S350" i="1"/>
  <c r="Q350" i="1"/>
  <c r="O350" i="1"/>
  <c r="N350" i="1"/>
  <c r="M350" i="1"/>
  <c r="L350" i="1"/>
  <c r="J350" i="1"/>
  <c r="I350" i="1"/>
  <c r="H350" i="1"/>
  <c r="G337" i="1"/>
  <c r="I337" i="1"/>
  <c r="J337" i="1"/>
  <c r="L337" i="1"/>
  <c r="M337" i="1"/>
  <c r="N337" i="1"/>
  <c r="O337" i="1"/>
  <c r="Q337" i="1"/>
  <c r="R337" i="1"/>
  <c r="S337" i="1"/>
  <c r="T337" i="1"/>
  <c r="U337" i="1"/>
  <c r="F337" i="1"/>
  <c r="H311" i="1"/>
  <c r="H319" i="1"/>
  <c r="H327" i="1"/>
  <c r="F327" i="1"/>
  <c r="U327" i="1"/>
  <c r="T327" i="1"/>
  <c r="S327" i="1"/>
  <c r="R327" i="1"/>
  <c r="Q327" i="1"/>
  <c r="J327" i="1"/>
  <c r="I327" i="1"/>
  <c r="G327" i="1"/>
  <c r="U319" i="1"/>
  <c r="T319" i="1"/>
  <c r="S319" i="1"/>
  <c r="R319" i="1"/>
  <c r="Q319" i="1"/>
  <c r="O319" i="1"/>
  <c r="N319" i="1"/>
  <c r="M319" i="1"/>
  <c r="L319" i="1"/>
  <c r="J319" i="1"/>
  <c r="I319" i="1"/>
  <c r="G319" i="1"/>
  <c r="F319" i="1"/>
  <c r="U311" i="1"/>
  <c r="T311" i="1"/>
  <c r="S311" i="1"/>
  <c r="R311" i="1"/>
  <c r="Q311" i="1"/>
  <c r="O311" i="1"/>
  <c r="N311" i="1"/>
  <c r="M311" i="1"/>
  <c r="L311" i="1"/>
  <c r="J311" i="1"/>
  <c r="I311" i="1"/>
  <c r="F311" i="1"/>
  <c r="G303" i="1"/>
  <c r="H303" i="1"/>
  <c r="I303" i="1"/>
  <c r="J303" i="1"/>
  <c r="L303" i="1"/>
  <c r="M303" i="1"/>
  <c r="N303" i="1"/>
  <c r="O303" i="1"/>
  <c r="Q303" i="1"/>
  <c r="R303" i="1"/>
  <c r="S303" i="1"/>
  <c r="T303" i="1"/>
  <c r="U303" i="1"/>
  <c r="F303" i="1"/>
  <c r="F293" i="1"/>
  <c r="U293" i="1"/>
  <c r="T293" i="1"/>
  <c r="S293" i="1"/>
  <c r="R293" i="1"/>
  <c r="Q293" i="1"/>
  <c r="O293" i="1"/>
  <c r="N293" i="1"/>
  <c r="M293" i="1"/>
  <c r="L293" i="1"/>
  <c r="J293" i="1"/>
  <c r="I293" i="1"/>
  <c r="H293" i="1"/>
  <c r="G293" i="1"/>
  <c r="G284" i="1"/>
  <c r="H284" i="1"/>
  <c r="I284" i="1"/>
  <c r="J284" i="1"/>
  <c r="L284" i="1"/>
  <c r="M284" i="1"/>
  <c r="N284" i="1"/>
  <c r="O284" i="1"/>
  <c r="Q284" i="1"/>
  <c r="R284" i="1"/>
  <c r="S284" i="1"/>
  <c r="T284" i="1"/>
  <c r="U284" i="1"/>
  <c r="F284" i="1"/>
  <c r="G272" i="1"/>
  <c r="H272" i="1"/>
  <c r="I272" i="1"/>
  <c r="J272" i="1"/>
  <c r="L272" i="1"/>
  <c r="M272" i="1"/>
  <c r="N272" i="1"/>
  <c r="O272" i="1"/>
  <c r="Q272" i="1"/>
  <c r="R272" i="1"/>
  <c r="S272" i="1"/>
  <c r="T272" i="1"/>
  <c r="U272" i="1"/>
  <c r="F140" i="1"/>
  <c r="O616" i="1" l="1"/>
  <c r="N616" i="1"/>
  <c r="L55" i="1"/>
  <c r="S247" i="1"/>
  <c r="T247" i="1"/>
  <c r="U247" i="1"/>
  <c r="S242" i="1"/>
  <c r="T242" i="1"/>
  <c r="U242" i="1"/>
  <c r="S237" i="1"/>
  <c r="T237" i="1"/>
  <c r="U237" i="1"/>
  <c r="S217" i="1"/>
  <c r="T217" i="1"/>
  <c r="U217" i="1"/>
  <c r="S209" i="1"/>
  <c r="T209" i="1"/>
  <c r="U209" i="1"/>
  <c r="S202" i="1"/>
  <c r="T202" i="1"/>
  <c r="U202" i="1"/>
  <c r="S196" i="1"/>
  <c r="T196" i="1"/>
  <c r="U196" i="1"/>
  <c r="S190" i="1"/>
  <c r="F190" i="1"/>
  <c r="U190" i="1"/>
  <c r="T190" i="1"/>
  <c r="R190" i="1"/>
  <c r="Q190" i="1"/>
  <c r="O190" i="1"/>
  <c r="N190" i="1"/>
  <c r="M190" i="1"/>
  <c r="L190" i="1"/>
  <c r="J190" i="1"/>
  <c r="I190" i="1"/>
  <c r="H190" i="1"/>
  <c r="G190" i="1"/>
  <c r="S184" i="1"/>
  <c r="T184" i="1"/>
  <c r="U184" i="1"/>
  <c r="S176" i="1"/>
  <c r="T176" i="1"/>
  <c r="U176" i="1"/>
  <c r="S167" i="1"/>
  <c r="T167" i="1"/>
  <c r="U167" i="1"/>
  <c r="S160" i="1"/>
  <c r="T160" i="1"/>
  <c r="U160" i="1"/>
  <c r="S152" i="1"/>
  <c r="T152" i="1"/>
  <c r="U152" i="1"/>
  <c r="S140" i="1"/>
  <c r="T140" i="1"/>
  <c r="U140" i="1"/>
  <c r="U134" i="1"/>
  <c r="S134" i="1"/>
  <c r="T134" i="1"/>
  <c r="S127" i="1"/>
  <c r="T127" i="1"/>
  <c r="U127" i="1"/>
  <c r="S120" i="1"/>
  <c r="T120" i="1"/>
  <c r="U120" i="1"/>
  <c r="S114" i="1"/>
  <c r="T114" i="1"/>
  <c r="U114" i="1"/>
  <c r="S105" i="1"/>
  <c r="T105" i="1"/>
  <c r="U105" i="1"/>
  <c r="S99" i="1"/>
  <c r="T99" i="1"/>
  <c r="U99" i="1"/>
  <c r="S93" i="1"/>
  <c r="T93" i="1"/>
  <c r="U93" i="1"/>
  <c r="U78" i="1"/>
  <c r="S78" i="1"/>
  <c r="T78" i="1"/>
  <c r="S73" i="1"/>
  <c r="T73" i="1"/>
  <c r="U73" i="1"/>
  <c r="S68" i="1"/>
  <c r="T68" i="1"/>
  <c r="U68" i="1"/>
  <c r="S63" i="1"/>
  <c r="T63" i="1"/>
  <c r="U63" i="1"/>
  <c r="R247" i="1"/>
  <c r="Q247" i="1"/>
  <c r="O247" i="1"/>
  <c r="N247" i="1"/>
  <c r="M247" i="1"/>
  <c r="L247" i="1"/>
  <c r="J247" i="1"/>
  <c r="I247" i="1"/>
  <c r="H247" i="1"/>
  <c r="F247" i="1"/>
  <c r="O242" i="1"/>
  <c r="R242" i="1"/>
  <c r="G242" i="1"/>
  <c r="H242" i="1"/>
  <c r="I242" i="1"/>
  <c r="J242" i="1"/>
  <c r="L242" i="1"/>
  <c r="M242" i="1"/>
  <c r="N242" i="1"/>
  <c r="Q242" i="1"/>
  <c r="F242" i="1"/>
  <c r="F209" i="1"/>
  <c r="F237" i="1"/>
  <c r="R237" i="1"/>
  <c r="Q237" i="1"/>
  <c r="O237" i="1"/>
  <c r="N237" i="1"/>
  <c r="M237" i="1"/>
  <c r="L237" i="1"/>
  <c r="J237" i="1"/>
  <c r="I237" i="1"/>
  <c r="H237" i="1"/>
  <c r="G237" i="1"/>
  <c r="R217" i="1"/>
  <c r="Q217" i="1"/>
  <c r="O217" i="1"/>
  <c r="N217" i="1"/>
  <c r="M217" i="1"/>
  <c r="L217" i="1"/>
  <c r="J217" i="1"/>
  <c r="I217" i="1"/>
  <c r="G217" i="1"/>
  <c r="R209" i="1"/>
  <c r="Q209" i="1"/>
  <c r="O209" i="1"/>
  <c r="N209" i="1"/>
  <c r="M209" i="1"/>
  <c r="L209" i="1"/>
  <c r="J209" i="1"/>
  <c r="I209" i="1"/>
  <c r="H209" i="1"/>
  <c r="G209" i="1"/>
  <c r="R202" i="1"/>
  <c r="Q202" i="1"/>
  <c r="O202" i="1"/>
  <c r="N202" i="1"/>
  <c r="M202" i="1"/>
  <c r="L202" i="1"/>
  <c r="J202" i="1"/>
  <c r="I202" i="1"/>
  <c r="H202" i="1"/>
  <c r="G202" i="1"/>
  <c r="F202" i="1"/>
  <c r="R196" i="1"/>
  <c r="Q196" i="1"/>
  <c r="O196" i="1"/>
  <c r="N196" i="1"/>
  <c r="M196" i="1"/>
  <c r="L196" i="1"/>
  <c r="J196" i="1"/>
  <c r="I196" i="1"/>
  <c r="H196" i="1"/>
  <c r="G196" i="1"/>
  <c r="F196" i="1"/>
  <c r="R184" i="1"/>
  <c r="Q184" i="1"/>
  <c r="O184" i="1"/>
  <c r="N184" i="1"/>
  <c r="M184" i="1"/>
  <c r="L184" i="1"/>
  <c r="J184" i="1"/>
  <c r="I184" i="1"/>
  <c r="H184" i="1"/>
  <c r="G184" i="1"/>
  <c r="F184" i="1"/>
  <c r="R176" i="1"/>
  <c r="G176" i="1"/>
  <c r="H176" i="1"/>
  <c r="I176" i="1"/>
  <c r="J176" i="1"/>
  <c r="L176" i="1"/>
  <c r="M176" i="1"/>
  <c r="N176" i="1"/>
  <c r="O176" i="1"/>
  <c r="Q176" i="1"/>
  <c r="F176" i="1"/>
  <c r="F167" i="1"/>
  <c r="F160" i="1"/>
  <c r="F152" i="1"/>
  <c r="R167" i="1"/>
  <c r="Q167" i="1"/>
  <c r="O167" i="1"/>
  <c r="N167" i="1"/>
  <c r="M167" i="1"/>
  <c r="L167" i="1"/>
  <c r="J167" i="1"/>
  <c r="I167" i="1"/>
  <c r="H167" i="1"/>
  <c r="G167" i="1"/>
  <c r="R160" i="1"/>
  <c r="Q160" i="1"/>
  <c r="O160" i="1"/>
  <c r="N160" i="1"/>
  <c r="M160" i="1"/>
  <c r="L160" i="1"/>
  <c r="J160" i="1"/>
  <c r="I160" i="1"/>
  <c r="H160" i="1"/>
  <c r="G160" i="1"/>
  <c r="R152" i="1"/>
  <c r="Q152" i="1"/>
  <c r="O152" i="1"/>
  <c r="N152" i="1"/>
  <c r="M152" i="1"/>
  <c r="L152" i="1"/>
  <c r="J152" i="1"/>
  <c r="I152" i="1"/>
  <c r="H152" i="1"/>
  <c r="G152" i="1"/>
  <c r="R140" i="1"/>
  <c r="G140" i="1"/>
  <c r="H140" i="1"/>
  <c r="I140" i="1"/>
  <c r="J140" i="1"/>
  <c r="L140" i="1"/>
  <c r="M140" i="1"/>
  <c r="N140" i="1"/>
  <c r="O140" i="1"/>
  <c r="Q140" i="1"/>
  <c r="H134" i="1"/>
  <c r="F134" i="1"/>
  <c r="R134" i="1"/>
  <c r="Q134" i="1"/>
  <c r="O134" i="1"/>
  <c r="N134" i="1"/>
  <c r="M134" i="1"/>
  <c r="L134" i="1"/>
  <c r="J134" i="1"/>
  <c r="I134" i="1"/>
  <c r="G134" i="1"/>
  <c r="R127" i="1"/>
  <c r="G127" i="1"/>
  <c r="H127" i="1"/>
  <c r="I127" i="1"/>
  <c r="J127" i="1"/>
  <c r="L127" i="1"/>
  <c r="M127" i="1"/>
  <c r="N127" i="1"/>
  <c r="O127" i="1"/>
  <c r="Q127" i="1"/>
  <c r="F127" i="1"/>
  <c r="R120" i="1"/>
  <c r="G120" i="1"/>
  <c r="H120" i="1"/>
  <c r="I120" i="1"/>
  <c r="J120" i="1"/>
  <c r="L120" i="1"/>
  <c r="M120" i="1"/>
  <c r="N120" i="1"/>
  <c r="O120" i="1"/>
  <c r="Q120" i="1"/>
  <c r="F120" i="1"/>
  <c r="O105" i="1"/>
  <c r="R114" i="1"/>
  <c r="G114" i="1"/>
  <c r="H114" i="1"/>
  <c r="I114" i="1"/>
  <c r="J114" i="1"/>
  <c r="L114" i="1"/>
  <c r="M114" i="1"/>
  <c r="N114" i="1"/>
  <c r="O114" i="1"/>
  <c r="Q114" i="1"/>
  <c r="F114" i="1"/>
  <c r="G68" i="1"/>
  <c r="F68" i="1"/>
  <c r="F105" i="1"/>
  <c r="R105" i="1"/>
  <c r="Q105" i="1"/>
  <c r="N105" i="1"/>
  <c r="M105" i="1"/>
  <c r="L105" i="1"/>
  <c r="J105" i="1"/>
  <c r="I105" i="1"/>
  <c r="H105" i="1"/>
  <c r="G105" i="1"/>
  <c r="F99" i="1"/>
  <c r="R99" i="1"/>
  <c r="Q99" i="1"/>
  <c r="O99" i="1"/>
  <c r="N99" i="1"/>
  <c r="M99" i="1"/>
  <c r="L99" i="1"/>
  <c r="J99" i="1"/>
  <c r="I99" i="1"/>
  <c r="H99" i="1"/>
  <c r="G99" i="1"/>
  <c r="F78" i="1"/>
  <c r="R78" i="1"/>
  <c r="Q78" i="1"/>
  <c r="O78" i="1"/>
  <c r="N78" i="1"/>
  <c r="M78" i="1"/>
  <c r="L78" i="1"/>
  <c r="J78" i="1"/>
  <c r="I78" i="1"/>
  <c r="H78" i="1"/>
  <c r="G78" i="1"/>
  <c r="R73" i="1"/>
  <c r="Q73" i="1"/>
  <c r="O73" i="1"/>
  <c r="N73" i="1"/>
  <c r="M73" i="1"/>
  <c r="L73" i="1"/>
  <c r="J73" i="1"/>
  <c r="I73" i="1"/>
  <c r="H73" i="1"/>
  <c r="G73" i="1"/>
  <c r="R68" i="1"/>
  <c r="Q68" i="1"/>
  <c r="O68" i="1"/>
  <c r="N68" i="1"/>
  <c r="M68" i="1"/>
  <c r="L68" i="1"/>
  <c r="J68" i="1"/>
  <c r="I68" i="1"/>
  <c r="H68" i="1"/>
  <c r="R63" i="1"/>
  <c r="Q63" i="1"/>
  <c r="O63" i="1"/>
  <c r="N63" i="1"/>
  <c r="M63" i="1"/>
  <c r="L63" i="1"/>
  <c r="J63" i="1"/>
  <c r="I63" i="1"/>
  <c r="H63" i="1"/>
  <c r="G63" i="1"/>
  <c r="G55" i="1"/>
  <c r="M55" i="1"/>
  <c r="N55" i="1"/>
  <c r="O55" i="1"/>
  <c r="Q55" i="1"/>
  <c r="R55" i="1"/>
  <c r="I55" i="1" l="1"/>
  <c r="H55" i="1"/>
  <c r="J55" i="1"/>
  <c r="S936" i="1" l="1"/>
  <c r="S256" i="1" l="1"/>
  <c r="T256" i="1"/>
  <c r="U256" i="1"/>
  <c r="F957" i="1" l="1"/>
  <c r="F956" i="1"/>
  <c r="U936" i="1" l="1"/>
  <c r="T936" i="1"/>
  <c r="R23" i="4"/>
  <c r="G15" i="22" l="1"/>
  <c r="H15" i="22" s="1"/>
  <c r="G12" i="22"/>
  <c r="H12" i="22" s="1"/>
  <c r="G9" i="22"/>
  <c r="H9" i="22" s="1"/>
  <c r="G8" i="22"/>
  <c r="H8" i="22" s="1"/>
  <c r="G7" i="22"/>
  <c r="H7" i="22" s="1"/>
  <c r="H28" i="10" l="1"/>
  <c r="H27" i="10"/>
  <c r="G30" i="10" s="1"/>
  <c r="D9" i="10" l="1"/>
  <c r="G7" i="20"/>
  <c r="H7" i="20" s="1"/>
  <c r="G8" i="20"/>
  <c r="H8" i="20" s="1"/>
  <c r="G9" i="20"/>
  <c r="H9" i="20" s="1"/>
  <c r="D163" i="21" l="1"/>
  <c r="D162" i="21"/>
  <c r="D157" i="21"/>
  <c r="D156" i="21"/>
  <c r="D151" i="21"/>
  <c r="D150" i="21"/>
  <c r="G139" i="21"/>
  <c r="D139" i="21" s="1"/>
  <c r="E19" i="20" s="1"/>
  <c r="G19" i="20" s="1"/>
  <c r="H19" i="20" s="1"/>
  <c r="D130" i="21"/>
  <c r="D128" i="21"/>
  <c r="D126" i="21"/>
  <c r="D117" i="21"/>
  <c r="D114" i="21"/>
  <c r="D113" i="21"/>
  <c r="D112" i="21"/>
  <c r="D107" i="21"/>
  <c r="D104" i="21"/>
  <c r="D103" i="21"/>
  <c r="D102" i="21"/>
  <c r="D97" i="21"/>
  <c r="D94" i="21"/>
  <c r="D93" i="21"/>
  <c r="D92" i="21"/>
  <c r="D88" i="21"/>
  <c r="G73" i="21"/>
  <c r="G72" i="21"/>
  <c r="G65" i="21"/>
  <c r="G64" i="21"/>
  <c r="G58" i="21"/>
  <c r="G57" i="21"/>
  <c r="D44" i="21"/>
  <c r="D43" i="21"/>
  <c r="D38" i="21"/>
  <c r="D37" i="21"/>
  <c r="D32" i="21"/>
  <c r="D31" i="21"/>
  <c r="D33" i="21" s="1"/>
  <c r="D18" i="21"/>
  <c r="D17" i="21"/>
  <c r="D10" i="21"/>
  <c r="D9" i="21"/>
  <c r="G22" i="20"/>
  <c r="H22" i="20" s="1"/>
  <c r="G16" i="20"/>
  <c r="H16" i="20" s="1"/>
  <c r="G15" i="20"/>
  <c r="H15" i="20" s="1"/>
  <c r="G14" i="20"/>
  <c r="H14" i="20" s="1"/>
  <c r="G13" i="20"/>
  <c r="H13" i="20" s="1"/>
  <c r="G12" i="20"/>
  <c r="H12" i="20" s="1"/>
  <c r="G11" i="20"/>
  <c r="H11" i="20" s="1"/>
  <c r="H10" i="20"/>
  <c r="D72" i="21" l="1"/>
  <c r="D152" i="21"/>
  <c r="D105" i="21"/>
  <c r="D109" i="21" s="1"/>
  <c r="D164" i="21"/>
  <c r="D19" i="21"/>
  <c r="D21" i="21" s="1"/>
  <c r="D39" i="21"/>
  <c r="D57" i="21"/>
  <c r="D95" i="21"/>
  <c r="D99" i="21" s="1"/>
  <c r="D158" i="21"/>
  <c r="D11" i="21"/>
  <c r="D13" i="21" s="1"/>
  <c r="D45" i="21"/>
  <c r="D64" i="21"/>
  <c r="D115" i="21"/>
  <c r="D119" i="21" s="1"/>
  <c r="D132" i="21"/>
  <c r="D79" i="21"/>
  <c r="N23" i="4"/>
  <c r="D49" i="21" l="1"/>
  <c r="D168" i="21"/>
  <c r="J24" i="4"/>
  <c r="N24" i="4" s="1"/>
  <c r="R24" i="4" s="1"/>
  <c r="V24" i="4" s="1"/>
  <c r="Z24" i="4" s="1"/>
  <c r="D23" i="21"/>
  <c r="D121" i="21"/>
  <c r="D82" i="21"/>
  <c r="F955" i="1"/>
  <c r="F958" i="1"/>
  <c r="AD24" i="4" l="1"/>
  <c r="D7" i="24" s="1"/>
  <c r="AE24" i="4" l="1"/>
  <c r="E9" i="4"/>
  <c r="G934" i="1"/>
  <c r="I934" i="1"/>
  <c r="J934" i="1"/>
  <c r="L934" i="1"/>
  <c r="M934" i="1"/>
  <c r="N934" i="1"/>
  <c r="O934" i="1"/>
  <c r="Q934" i="1"/>
  <c r="R934" i="1"/>
  <c r="G919" i="1"/>
  <c r="H919" i="1"/>
  <c r="I919" i="1"/>
  <c r="J919" i="1"/>
  <c r="L919" i="1"/>
  <c r="O919" i="1"/>
  <c r="Q919" i="1"/>
  <c r="R919" i="1"/>
  <c r="G581" i="1"/>
  <c r="H581" i="1"/>
  <c r="J581" i="1"/>
  <c r="L581" i="1"/>
  <c r="N581" i="1"/>
  <c r="O581" i="1"/>
  <c r="Q581" i="1"/>
  <c r="R581" i="1"/>
  <c r="I256" i="1"/>
  <c r="J256" i="1"/>
  <c r="L256" i="1"/>
  <c r="N256" i="1"/>
  <c r="O256" i="1"/>
  <c r="Q256" i="1"/>
  <c r="R256" i="1"/>
  <c r="H934" i="1" l="1"/>
  <c r="H936" i="1"/>
  <c r="R936" i="1"/>
  <c r="M936" i="1"/>
  <c r="L936" i="1"/>
  <c r="O936" i="1"/>
  <c r="J936" i="1"/>
  <c r="N936" i="1"/>
  <c r="Q936" i="1"/>
  <c r="G936" i="1"/>
  <c r="I936" i="1"/>
  <c r="F942" i="1"/>
  <c r="F943" i="1"/>
  <c r="F945" i="1"/>
  <c r="F946" i="1"/>
  <c r="F948" i="1"/>
  <c r="F949" i="1"/>
  <c r="F950" i="1"/>
  <c r="F951" i="1"/>
  <c r="F952" i="1"/>
  <c r="F953" i="1"/>
  <c r="F954" i="1"/>
  <c r="U955" i="1"/>
  <c r="D26" i="23" l="1"/>
  <c r="D17" i="23"/>
  <c r="D910" i="23"/>
  <c r="D42" i="23"/>
  <c r="D261" i="23"/>
  <c r="D580" i="23"/>
  <c r="D904" i="23"/>
  <c r="D709" i="23"/>
  <c r="D25" i="23"/>
  <c r="G17" i="20"/>
  <c r="H17" i="20" s="1"/>
  <c r="G10" i="22"/>
  <c r="H10" i="22" s="1"/>
  <c r="H18" i="22" s="1"/>
  <c r="F28" i="23" s="1"/>
  <c r="D12" i="23"/>
  <c r="D37" i="23"/>
  <c r="D23" i="23"/>
  <c r="D16" i="23"/>
  <c r="D39" i="23"/>
  <c r="D22" i="23"/>
  <c r="D18" i="23"/>
  <c r="D13" i="23"/>
  <c r="D21" i="23"/>
  <c r="D24" i="23"/>
  <c r="D20" i="23"/>
  <c r="D912" i="23"/>
  <c r="D911" i="23"/>
  <c r="D14" i="23"/>
  <c r="D15" i="23"/>
  <c r="D40" i="23"/>
  <c r="D914" i="23"/>
  <c r="D909" i="23"/>
  <c r="D913" i="23"/>
  <c r="D19" i="23"/>
  <c r="D46" i="23"/>
  <c r="D38" i="23"/>
  <c r="D47" i="23"/>
  <c r="D45" i="23"/>
  <c r="D41" i="23"/>
  <c r="D44" i="23"/>
  <c r="D43" i="23"/>
  <c r="D760" i="23"/>
  <c r="D880" i="23"/>
  <c r="D879" i="23"/>
  <c r="D378" i="23"/>
  <c r="D756" i="23"/>
  <c r="D296" i="23"/>
  <c r="D346" i="23"/>
  <c r="D755" i="23"/>
  <c r="D886" i="23"/>
  <c r="D189" i="23"/>
  <c r="D780" i="23"/>
  <c r="D196" i="23"/>
  <c r="D869" i="23"/>
  <c r="D777" i="23"/>
  <c r="D804" i="23"/>
  <c r="D885" i="23"/>
  <c r="D554" i="23"/>
  <c r="D704" i="23"/>
  <c r="D746" i="23"/>
  <c r="D855" i="23"/>
  <c r="D181" i="23"/>
  <c r="D810" i="23"/>
  <c r="D831" i="23"/>
  <c r="D690" i="23"/>
  <c r="D367" i="23"/>
  <c r="D783" i="23"/>
  <c r="D666" i="23"/>
  <c r="D837" i="23"/>
  <c r="D857" i="23"/>
  <c r="D792" i="23"/>
  <c r="D612" i="23"/>
  <c r="D449" i="23"/>
  <c r="D284" i="23"/>
  <c r="D801" i="23"/>
  <c r="D425" i="23"/>
  <c r="D500" i="23"/>
  <c r="D445" i="23"/>
  <c r="D387" i="23"/>
  <c r="D480" i="23"/>
  <c r="D451" i="23"/>
  <c r="D364" i="23"/>
  <c r="D275" i="23"/>
  <c r="D307" i="23"/>
  <c r="D414" i="23"/>
  <c r="D431" i="23"/>
  <c r="D287" i="23"/>
  <c r="D864" i="23"/>
  <c r="D853" i="23"/>
  <c r="D664" i="23"/>
  <c r="D591" i="23"/>
  <c r="D782" i="23"/>
  <c r="D642" i="23"/>
  <c r="D686" i="23"/>
  <c r="D727" i="23"/>
  <c r="D898" i="23"/>
  <c r="D584" i="23"/>
  <c r="D739" i="23"/>
  <c r="D688" i="23"/>
  <c r="D263" i="23"/>
  <c r="D889" i="23"/>
  <c r="D393" i="23"/>
  <c r="D875" i="23"/>
  <c r="D294" i="23"/>
  <c r="D322" i="23"/>
  <c r="D540" i="23"/>
  <c r="D547" i="23"/>
  <c r="D492" i="23"/>
  <c r="D374" i="23"/>
  <c r="D710" i="23"/>
  <c r="D305" i="23"/>
  <c r="D354" i="23"/>
  <c r="D468" i="23"/>
  <c r="D60" i="23"/>
  <c r="D128" i="23"/>
  <c r="D854" i="23"/>
  <c r="D740" i="23"/>
  <c r="D824" i="23"/>
  <c r="D860" i="23"/>
  <c r="D630" i="23"/>
  <c r="D695" i="23"/>
  <c r="D832" i="23"/>
  <c r="D896" i="23"/>
  <c r="D585" i="23"/>
  <c r="D805" i="23"/>
  <c r="D265" i="23"/>
  <c r="D488" i="23"/>
  <c r="D352" i="23"/>
  <c r="D728" i="23"/>
  <c r="D603" i="23"/>
  <c r="D460" i="23"/>
  <c r="D443" i="23"/>
  <c r="D295" i="23"/>
  <c r="D519" i="23"/>
  <c r="D440" i="23"/>
  <c r="D555" i="23"/>
  <c r="D545" i="23"/>
  <c r="D491" i="23"/>
  <c r="D376" i="23"/>
  <c r="D391" i="23"/>
  <c r="D411" i="23"/>
  <c r="D435" i="23"/>
  <c r="D430" i="23"/>
  <c r="D781" i="23"/>
  <c r="D745" i="23"/>
  <c r="D596" i="23"/>
  <c r="D223" i="23"/>
  <c r="D665" i="23"/>
  <c r="D812" i="23"/>
  <c r="D611" i="23"/>
  <c r="D687" i="23"/>
  <c r="D655" i="23"/>
  <c r="D802" i="23"/>
  <c r="D262" i="23"/>
  <c r="D268" i="23"/>
  <c r="D344" i="23"/>
  <c r="D278" i="23"/>
  <c r="D315" i="23"/>
  <c r="D516" i="23"/>
  <c r="D405" i="23"/>
  <c r="D88" i="23"/>
  <c r="D110" i="23"/>
  <c r="D127" i="23"/>
  <c r="D139" i="23"/>
  <c r="D145" i="23"/>
  <c r="D165" i="23"/>
  <c r="D215" i="23"/>
  <c r="D238" i="23"/>
  <c r="D53" i="23"/>
  <c r="D69" i="23"/>
  <c r="D85" i="23"/>
  <c r="D54" i="23"/>
  <c r="D94" i="23"/>
  <c r="D90" i="23"/>
  <c r="D105" i="23"/>
  <c r="D173" i="23"/>
  <c r="D184" i="23"/>
  <c r="D224" i="23"/>
  <c r="D563" i="23"/>
  <c r="D564" i="23"/>
  <c r="D668" i="23"/>
  <c r="D707" i="23"/>
  <c r="D758" i="23"/>
  <c r="D452" i="23"/>
  <c r="D439" i="23"/>
  <c r="D757" i="23"/>
  <c r="D827" i="23"/>
  <c r="D210" i="23"/>
  <c r="D55" i="23"/>
  <c r="D759" i="23"/>
  <c r="D656" i="23"/>
  <c r="D779" i="23"/>
  <c r="D195" i="23"/>
  <c r="D724" i="23"/>
  <c r="D444" i="23"/>
  <c r="D330" i="23"/>
  <c r="D748" i="23"/>
  <c r="D834" i="23"/>
  <c r="D715" i="23"/>
  <c r="D696" i="23"/>
  <c r="D185" i="23"/>
  <c r="D815" i="23"/>
  <c r="D720" i="23"/>
  <c r="D719" i="23"/>
  <c r="D737" i="23"/>
  <c r="D814" i="23"/>
  <c r="D621" i="23"/>
  <c r="D56" i="23"/>
  <c r="D544" i="23"/>
  <c r="D539" i="23"/>
  <c r="D471" i="23"/>
  <c r="D897" i="23"/>
  <c r="D421" i="23"/>
  <c r="D498" i="23"/>
  <c r="D529" i="23"/>
  <c r="D383" i="23"/>
  <c r="D537" i="23"/>
  <c r="D718" i="23"/>
  <c r="D341" i="23"/>
  <c r="D373" i="23"/>
  <c r="D395" i="23"/>
  <c r="D415" i="23"/>
  <c r="D356" i="23"/>
  <c r="D285" i="23"/>
  <c r="D776" i="23"/>
  <c r="D744" i="23"/>
  <c r="D663" i="23"/>
  <c r="D816" i="23"/>
  <c r="D793" i="23"/>
  <c r="D638" i="23"/>
  <c r="D684" i="23"/>
  <c r="D835" i="23"/>
  <c r="D652" i="23"/>
  <c r="D579" i="23"/>
  <c r="D624" i="23"/>
  <c r="D605" i="23"/>
  <c r="D844" i="23"/>
  <c r="D623" i="23"/>
  <c r="D333" i="23"/>
  <c r="D866" i="23"/>
  <c r="D419" i="23"/>
  <c r="D320" i="23"/>
  <c r="D557" i="23"/>
  <c r="D548" i="23"/>
  <c r="D454" i="23"/>
  <c r="D377" i="23"/>
  <c r="D706" i="23"/>
  <c r="D303" i="23"/>
  <c r="D409" i="23"/>
  <c r="D470" i="23"/>
  <c r="D433" i="23"/>
  <c r="D100" i="23"/>
  <c r="D750" i="23"/>
  <c r="D225" i="23"/>
  <c r="D661" i="23"/>
  <c r="D772" i="23"/>
  <c r="D594" i="23"/>
  <c r="D641" i="23"/>
  <c r="D838" i="23"/>
  <c r="D653" i="23"/>
  <c r="D583" i="23"/>
  <c r="D800" i="23"/>
  <c r="D848" i="23"/>
  <c r="D714" i="23"/>
  <c r="D358" i="23"/>
  <c r="D592" i="23"/>
  <c r="D582" i="23"/>
  <c r="D298" i="23"/>
  <c r="D530" i="23"/>
  <c r="D299" i="23"/>
  <c r="D499" i="23"/>
  <c r="D441" i="23"/>
  <c r="D553" i="23"/>
  <c r="D478" i="23"/>
  <c r="D450" i="23"/>
  <c r="D366" i="23"/>
  <c r="D396" i="23"/>
  <c r="D505" i="23"/>
  <c r="D351" i="23"/>
  <c r="D288" i="23"/>
  <c r="D91" i="23"/>
  <c r="D788" i="23"/>
  <c r="D643" i="23"/>
  <c r="D197" i="23"/>
  <c r="D662" i="23"/>
  <c r="D888" i="23"/>
  <c r="D698" i="23"/>
  <c r="D685" i="23"/>
  <c r="D833" i="23"/>
  <c r="D675" i="23"/>
  <c r="D799" i="23"/>
  <c r="D620" i="23"/>
  <c r="D267" i="23"/>
  <c r="D340" i="23"/>
  <c r="D279" i="23"/>
  <c r="D314" i="23"/>
  <c r="D160" i="23"/>
  <c r="D404" i="23"/>
  <c r="D147" i="23"/>
  <c r="D115" i="23"/>
  <c r="D120" i="23"/>
  <c r="D134" i="23"/>
  <c r="D146" i="23"/>
  <c r="D159" i="23"/>
  <c r="D209" i="23"/>
  <c r="D231" i="23"/>
  <c r="D237" i="23"/>
  <c r="D68" i="23"/>
  <c r="D78" i="23"/>
  <c r="D151" i="23"/>
  <c r="D89" i="23"/>
  <c r="D93" i="23"/>
  <c r="D106" i="23"/>
  <c r="D172" i="23"/>
  <c r="D174" i="23"/>
  <c r="D216" i="23"/>
  <c r="D243" i="23"/>
  <c r="D565" i="23"/>
  <c r="D201" i="23"/>
  <c r="D899" i="23"/>
  <c r="D166" i="23"/>
  <c r="D183" i="23"/>
  <c r="D496" i="23"/>
  <c r="D132" i="23"/>
  <c r="D725" i="23"/>
  <c r="D809" i="23"/>
  <c r="D321" i="23"/>
  <c r="D761" i="23"/>
  <c r="D822" i="23"/>
  <c r="D252" i="23"/>
  <c r="D754" i="23"/>
  <c r="D606" i="23"/>
  <c r="D424" i="23"/>
  <c r="D401" i="23"/>
  <c r="D865" i="23"/>
  <c r="D768" i="23"/>
  <c r="D683" i="23"/>
  <c r="D845" i="23"/>
  <c r="D767" i="23"/>
  <c r="D705" i="23"/>
  <c r="D525" i="23"/>
  <c r="D359" i="23"/>
  <c r="D699" i="23"/>
  <c r="D749" i="23"/>
  <c r="D674" i="23"/>
  <c r="D365" i="23"/>
  <c r="D323" i="23"/>
  <c r="D266" i="23"/>
  <c r="D413" i="23"/>
  <c r="D654" i="23"/>
  <c r="D453" i="23"/>
  <c r="D459" i="23"/>
  <c r="D518" i="23"/>
  <c r="D535" i="23"/>
  <c r="D546" i="23"/>
  <c r="D343" i="23"/>
  <c r="D375" i="23"/>
  <c r="D708" i="23"/>
  <c r="D508" i="23"/>
  <c r="D355" i="23"/>
  <c r="D472" i="23"/>
  <c r="D84" i="23"/>
  <c r="D789" i="23"/>
  <c r="D735" i="23"/>
  <c r="D811" i="23"/>
  <c r="D700" i="23"/>
  <c r="D203" i="23"/>
  <c r="D694" i="23"/>
  <c r="D877" i="23"/>
  <c r="D650" i="23"/>
  <c r="D673" i="23"/>
  <c r="D631" i="23"/>
  <c r="D602" i="23"/>
  <c r="D798" i="23"/>
  <c r="D482" i="23"/>
  <c r="D432" i="23"/>
  <c r="D259" i="23"/>
  <c r="D526" i="23"/>
  <c r="D385" i="23"/>
  <c r="D479" i="23"/>
  <c r="D717" i="23"/>
  <c r="D368" i="23"/>
  <c r="D331" i="23"/>
  <c r="D394" i="23"/>
  <c r="D511" i="23"/>
  <c r="D434" i="23"/>
  <c r="D289" i="23"/>
  <c r="D73" i="23"/>
  <c r="D791" i="23"/>
  <c r="D734" i="23"/>
  <c r="D667" i="23"/>
  <c r="D765" i="23"/>
  <c r="D597" i="23"/>
  <c r="D639" i="23"/>
  <c r="D876" i="23"/>
  <c r="D651" i="23"/>
  <c r="D677" i="23"/>
  <c r="D870" i="23"/>
  <c r="D843" i="23"/>
  <c r="D463" i="23"/>
  <c r="D412" i="23"/>
  <c r="D766" i="23"/>
  <c r="D676" i="23"/>
  <c r="D423" i="23"/>
  <c r="D521" i="23"/>
  <c r="D571" i="23"/>
  <c r="D461" i="23"/>
  <c r="D528" i="23"/>
  <c r="D384" i="23"/>
  <c r="D481" i="23"/>
  <c r="D716" i="23"/>
  <c r="D339" i="23"/>
  <c r="D327" i="23"/>
  <c r="D509" i="23"/>
  <c r="D353" i="23"/>
  <c r="D469" i="23"/>
  <c r="D176" i="23"/>
  <c r="D790" i="23"/>
  <c r="D616" i="23"/>
  <c r="D615" i="23"/>
  <c r="D738" i="23"/>
  <c r="D769" i="23"/>
  <c r="D595" i="23"/>
  <c r="D640" i="23"/>
  <c r="D836" i="23"/>
  <c r="D895" i="23"/>
  <c r="D607" i="23"/>
  <c r="D846" i="23"/>
  <c r="D622" i="23"/>
  <c r="D345" i="23"/>
  <c r="D280" i="23"/>
  <c r="D313" i="23"/>
  <c r="D208" i="23"/>
  <c r="D517" i="23"/>
  <c r="D403" i="23"/>
  <c r="D113" i="23"/>
  <c r="D119" i="23"/>
  <c r="D125" i="23"/>
  <c r="D140" i="23"/>
  <c r="D161" i="23"/>
  <c r="D207" i="23"/>
  <c r="D218" i="23"/>
  <c r="D235" i="23"/>
  <c r="D61" i="23"/>
  <c r="D79" i="23"/>
  <c r="D121" i="23"/>
  <c r="D92" i="23"/>
  <c r="D87" i="23"/>
  <c r="D104" i="23"/>
  <c r="D153" i="23"/>
  <c r="D177" i="23"/>
  <c r="D217" i="23"/>
  <c r="D230" i="23"/>
  <c r="D566" i="23"/>
  <c r="D248" i="23"/>
  <c r="D167" i="23"/>
  <c r="D190" i="23"/>
  <c r="D157" i="23"/>
  <c r="D820" i="23"/>
  <c r="D462" i="23"/>
  <c r="D277" i="23"/>
  <c r="D856" i="23"/>
  <c r="D890" i="23"/>
  <c r="D182" i="23"/>
  <c r="D135" i="23"/>
  <c r="D823" i="23"/>
  <c r="D633" i="23"/>
  <c r="D133" i="23"/>
  <c r="D887" i="23"/>
  <c r="D894" i="23"/>
  <c r="D483" i="23"/>
  <c r="D778" i="23"/>
  <c r="D229" i="23"/>
  <c r="D634" i="23"/>
  <c r="D527" i="23"/>
  <c r="D382" i="23"/>
  <c r="D787" i="23"/>
  <c r="D422" i="23"/>
  <c r="D306" i="23"/>
  <c r="D613" i="23"/>
  <c r="D669" i="23"/>
  <c r="D644" i="23"/>
  <c r="D293" i="23"/>
  <c r="D825" i="23"/>
  <c r="D578" i="23"/>
  <c r="D490" i="23"/>
  <c r="D859" i="23"/>
  <c r="D625" i="23"/>
  <c r="D297" i="23"/>
  <c r="D515" i="23"/>
  <c r="D442" i="23"/>
  <c r="D556" i="23"/>
  <c r="D549" i="23"/>
  <c r="D487" i="23"/>
  <c r="D363" i="23"/>
  <c r="D329" i="23"/>
  <c r="D506" i="23"/>
  <c r="D357" i="23"/>
  <c r="D474" i="23"/>
  <c r="D312" i="23"/>
  <c r="D794" i="23"/>
  <c r="D614" i="23"/>
  <c r="D884" i="23"/>
  <c r="D697" i="23"/>
  <c r="D629" i="23"/>
  <c r="D678" i="23"/>
  <c r="D874" i="23"/>
  <c r="D726" i="23"/>
  <c r="D679" i="23"/>
  <c r="D632" i="23"/>
  <c r="D826" i="23"/>
  <c r="D803" i="23"/>
  <c r="D264" i="23"/>
  <c r="D501" i="23"/>
  <c r="D510" i="23"/>
  <c r="D601" i="23"/>
  <c r="D464" i="23"/>
  <c r="D386" i="23"/>
  <c r="D538" i="23"/>
  <c r="D570" i="23"/>
  <c r="D342" i="23"/>
  <c r="D332" i="23"/>
  <c r="D392" i="23"/>
  <c r="D507" i="23"/>
  <c r="D350" i="23"/>
  <c r="D286" i="23"/>
  <c r="D64" i="23"/>
  <c r="D868" i="23"/>
  <c r="D858" i="23"/>
  <c r="D736" i="23"/>
  <c r="D821" i="23"/>
  <c r="D813" i="23"/>
  <c r="D729" i="23"/>
  <c r="D689" i="23"/>
  <c r="D730" i="23"/>
  <c r="D900" i="23"/>
  <c r="D604" i="23"/>
  <c r="D849" i="23"/>
  <c r="D260" i="23"/>
  <c r="D372" i="23"/>
  <c r="D429" i="23"/>
  <c r="D657" i="23"/>
  <c r="D847" i="23"/>
  <c r="D497" i="23"/>
  <c r="D420" i="23"/>
  <c r="D458" i="23"/>
  <c r="D531" i="23"/>
  <c r="D319" i="23"/>
  <c r="D536" i="23"/>
  <c r="D400" i="23"/>
  <c r="D489" i="23"/>
  <c r="D328" i="23"/>
  <c r="D304" i="23"/>
  <c r="D410" i="23"/>
  <c r="D473" i="23"/>
  <c r="D111" i="23"/>
  <c r="D867" i="23"/>
  <c r="D747" i="23"/>
  <c r="D771" i="23"/>
  <c r="D242" i="23"/>
  <c r="D770" i="23"/>
  <c r="D593" i="23"/>
  <c r="D202" i="23"/>
  <c r="D878" i="23"/>
  <c r="D649" i="23"/>
  <c r="D581" i="23"/>
  <c r="D842" i="23"/>
  <c r="D269" i="23"/>
  <c r="D338" i="23"/>
  <c r="D562" i="23"/>
  <c r="D276" i="23"/>
  <c r="D311" i="23"/>
  <c r="D520" i="23"/>
  <c r="D402" i="23"/>
  <c r="D112" i="23"/>
  <c r="D114" i="23"/>
  <c r="D126" i="23"/>
  <c r="D141" i="23"/>
  <c r="D158" i="23"/>
  <c r="D168" i="23"/>
  <c r="D214" i="23"/>
  <c r="D236" i="23"/>
  <c r="D63" i="23"/>
  <c r="D74" i="23"/>
  <c r="D99" i="23"/>
  <c r="D62" i="23"/>
  <c r="D86" i="23"/>
  <c r="D98" i="23"/>
  <c r="D152" i="23"/>
  <c r="D175" i="23"/>
  <c r="D191" i="23"/>
  <c r="D222" i="23"/>
  <c r="D561" i="23"/>
  <c r="D247" i="23"/>
  <c r="D10" i="10"/>
  <c r="E26" i="23" s="1"/>
  <c r="D11" i="10"/>
  <c r="H24" i="20" l="1"/>
  <c r="F27" i="23" s="1"/>
  <c r="G48" i="23"/>
  <c r="H48" i="23" s="1"/>
  <c r="G29" i="23"/>
  <c r="H29" i="23" s="1"/>
  <c r="G270" i="23"/>
  <c r="H270" i="23" s="1"/>
  <c r="G915" i="23"/>
  <c r="H915" i="23" s="1"/>
  <c r="G586" i="23"/>
  <c r="H586" i="23" s="1"/>
  <c r="G27" i="23"/>
  <c r="G28" i="23"/>
  <c r="H28" i="23" s="1"/>
  <c r="H26" i="23"/>
  <c r="C961" i="1"/>
  <c r="E433" i="23"/>
  <c r="H433" i="23" s="1"/>
  <c r="E432" i="23"/>
  <c r="H432" i="23" s="1"/>
  <c r="E431" i="23"/>
  <c r="H431" i="23" s="1"/>
  <c r="E435" i="23"/>
  <c r="H435" i="23" s="1"/>
  <c r="E430" i="23"/>
  <c r="H430" i="23" s="1"/>
  <c r="E434" i="23"/>
  <c r="H434" i="23" s="1"/>
  <c r="E605" i="23"/>
  <c r="H605" i="23" s="1"/>
  <c r="E642" i="23"/>
  <c r="H642" i="23" s="1"/>
  <c r="E698" i="23"/>
  <c r="H698" i="23" s="1"/>
  <c r="E735" i="23"/>
  <c r="H735" i="23" s="1"/>
  <c r="E783" i="23"/>
  <c r="H783" i="23" s="1"/>
  <c r="E858" i="23"/>
  <c r="H858" i="23" s="1"/>
  <c r="E649" i="23"/>
  <c r="H649" i="23" s="1"/>
  <c r="E519" i="23"/>
  <c r="H519" i="23" s="1"/>
  <c r="E363" i="23"/>
  <c r="H363" i="23" s="1"/>
  <c r="E632" i="23"/>
  <c r="H632" i="23" s="1"/>
  <c r="E685" i="23"/>
  <c r="H685" i="23" s="1"/>
  <c r="E720" i="23"/>
  <c r="H720" i="23" s="1"/>
  <c r="E758" i="23"/>
  <c r="H758" i="23" s="1"/>
  <c r="E791" i="23"/>
  <c r="H791" i="23" s="1"/>
  <c r="E823" i="23"/>
  <c r="H823" i="23" s="1"/>
  <c r="E857" i="23"/>
  <c r="H857" i="23" s="1"/>
  <c r="E899" i="23"/>
  <c r="H899" i="23" s="1"/>
  <c r="E734" i="23"/>
  <c r="H734" i="23" s="1"/>
  <c r="E474" i="23"/>
  <c r="H474" i="23" s="1"/>
  <c r="E566" i="23"/>
  <c r="H566" i="23" s="1"/>
  <c r="E396" i="23"/>
  <c r="H396" i="23" s="1"/>
  <c r="E333" i="23"/>
  <c r="H333" i="23" s="1"/>
  <c r="E583" i="23"/>
  <c r="H583" i="23" s="1"/>
  <c r="E630" i="23"/>
  <c r="H630" i="23" s="1"/>
  <c r="E679" i="23"/>
  <c r="H679" i="23" s="1"/>
  <c r="E719" i="23"/>
  <c r="H719" i="23" s="1"/>
  <c r="E756" i="23"/>
  <c r="H756" i="23" s="1"/>
  <c r="E790" i="23"/>
  <c r="H790" i="23" s="1"/>
  <c r="E822" i="23"/>
  <c r="H822" i="23" s="1"/>
  <c r="E855" i="23"/>
  <c r="H855" i="23" s="1"/>
  <c r="E898" i="23"/>
  <c r="H898" i="23" s="1"/>
  <c r="E744" i="23"/>
  <c r="H744" i="23" s="1"/>
  <c r="E470" i="23"/>
  <c r="H470" i="23" s="1"/>
  <c r="E562" i="23"/>
  <c r="E394" i="23"/>
  <c r="H394" i="23" s="1"/>
  <c r="E331" i="23"/>
  <c r="H331" i="23" s="1"/>
  <c r="E259" i="23"/>
  <c r="H259" i="23" s="1"/>
  <c r="E616" i="23"/>
  <c r="H616" i="23" s="1"/>
  <c r="E654" i="23"/>
  <c r="H654" i="23" s="1"/>
  <c r="E708" i="23"/>
  <c r="H708" i="23" s="1"/>
  <c r="E746" i="23"/>
  <c r="H746" i="23" s="1"/>
  <c r="E779" i="23"/>
  <c r="H779" i="23" s="1"/>
  <c r="E811" i="23"/>
  <c r="H811" i="23" s="1"/>
  <c r="E845" i="23"/>
  <c r="H845" i="23" s="1"/>
  <c r="E887" i="23"/>
  <c r="H887" i="23" s="1"/>
  <c r="E831" i="23"/>
  <c r="H831" i="23" s="1"/>
  <c r="E578" i="23"/>
  <c r="H578" i="23" s="1"/>
  <c r="E507" i="23"/>
  <c r="H507" i="23" s="1"/>
  <c r="E421" i="23"/>
  <c r="H421" i="23" s="1"/>
  <c r="E364" i="23"/>
  <c r="H364" i="23" s="1"/>
  <c r="E294" i="23"/>
  <c r="H294" i="23" s="1"/>
  <c r="E759" i="23"/>
  <c r="H759" i="23" s="1"/>
  <c r="E815" i="23"/>
  <c r="H815" i="23" s="1"/>
  <c r="E895" i="23"/>
  <c r="H895" i="23" s="1"/>
  <c r="E601" i="23"/>
  <c r="H601" i="23" s="1"/>
  <c r="E377" i="23"/>
  <c r="H377" i="23" s="1"/>
  <c r="E631" i="23"/>
  <c r="H631" i="23" s="1"/>
  <c r="E99" i="23"/>
  <c r="H99" i="23" s="1"/>
  <c r="E62" i="23"/>
  <c r="H62" i="23" s="1"/>
  <c r="E132" i="23"/>
  <c r="H132" i="23" s="1"/>
  <c r="E47" i="23"/>
  <c r="H47" i="23" s="1"/>
  <c r="E280" i="23"/>
  <c r="H280" i="23" s="1"/>
  <c r="E145" i="23"/>
  <c r="H145" i="23" s="1"/>
  <c r="E372" i="23"/>
  <c r="H372" i="23" s="1"/>
  <c r="E665" i="23"/>
  <c r="H665" i="23" s="1"/>
  <c r="E629" i="23"/>
  <c r="H629" i="23" s="1"/>
  <c r="E836" i="23"/>
  <c r="H836" i="23" s="1"/>
  <c r="E737" i="23"/>
  <c r="H737" i="23" s="1"/>
  <c r="E607" i="23"/>
  <c r="H607" i="23" s="1"/>
  <c r="E373" i="23"/>
  <c r="H373" i="23" s="1"/>
  <c r="E520" i="23"/>
  <c r="H520" i="23" s="1"/>
  <c r="E553" i="23"/>
  <c r="H553" i="23" s="1"/>
  <c r="E444" i="23"/>
  <c r="H444" i="23" s="1"/>
  <c r="E391" i="23"/>
  <c r="H391" i="23" s="1"/>
  <c r="E510" i="23"/>
  <c r="H510" i="23" s="1"/>
  <c r="E177" i="23"/>
  <c r="H177" i="23" s="1"/>
  <c r="E94" i="23"/>
  <c r="H94" i="23" s="1"/>
  <c r="E914" i="23"/>
  <c r="H914" i="23" s="1"/>
  <c r="E539" i="23"/>
  <c r="H539" i="23" s="1"/>
  <c r="E141" i="23"/>
  <c r="H141" i="23" s="1"/>
  <c r="E375" i="23"/>
  <c r="H375" i="23" s="1"/>
  <c r="E351" i="23"/>
  <c r="H351" i="23" s="1"/>
  <c r="E910" i="23"/>
  <c r="H910" i="23" s="1"/>
  <c r="E793" i="23"/>
  <c r="H793" i="23" s="1"/>
  <c r="E687" i="23"/>
  <c r="H687" i="23" s="1"/>
  <c r="E260" i="23"/>
  <c r="H260" i="23" s="1"/>
  <c r="E395" i="23"/>
  <c r="H395" i="23" s="1"/>
  <c r="E501" i="23"/>
  <c r="H501" i="23" s="1"/>
  <c r="E525" i="23"/>
  <c r="H525" i="23" s="1"/>
  <c r="E262" i="23"/>
  <c r="H262" i="23" s="1"/>
  <c r="E386" i="23"/>
  <c r="H386" i="23" s="1"/>
  <c r="E518" i="23"/>
  <c r="H518" i="23" s="1"/>
  <c r="E157" i="23"/>
  <c r="H157" i="23" s="1"/>
  <c r="E183" i="23"/>
  <c r="H183" i="23" s="1"/>
  <c r="E214" i="23"/>
  <c r="H214" i="23" s="1"/>
  <c r="E252" i="23"/>
  <c r="E113" i="23"/>
  <c r="H113" i="23" s="1"/>
  <c r="E110" i="23"/>
  <c r="H110" i="23" s="1"/>
  <c r="E864" i="23"/>
  <c r="H864" i="23" s="1"/>
  <c r="E269" i="23"/>
  <c r="H269" i="23" s="1"/>
  <c r="E230" i="23"/>
  <c r="H230" i="23" s="1"/>
  <c r="E668" i="23"/>
  <c r="H668" i="23" s="1"/>
  <c r="E909" i="23"/>
  <c r="H909" i="23" s="1"/>
  <c r="E800" i="23"/>
  <c r="H800" i="23" s="1"/>
  <c r="E697" i="23"/>
  <c r="H697" i="23" s="1"/>
  <c r="E264" i="23"/>
  <c r="H264" i="23" s="1"/>
  <c r="E384" i="23"/>
  <c r="H384" i="23" s="1"/>
  <c r="E508" i="23"/>
  <c r="H508" i="23" s="1"/>
  <c r="E529" i="23"/>
  <c r="E376" i="23"/>
  <c r="H376" i="23" s="1"/>
  <c r="E526" i="23"/>
  <c r="H526" i="23" s="1"/>
  <c r="E153" i="23"/>
  <c r="H153" i="23" s="1"/>
  <c r="E182" i="23"/>
  <c r="H182" i="23" s="1"/>
  <c r="E210" i="23"/>
  <c r="H210" i="23" s="1"/>
  <c r="E248" i="23"/>
  <c r="H248" i="23" s="1"/>
  <c r="E112" i="23"/>
  <c r="H112" i="23" s="1"/>
  <c r="E119" i="23"/>
  <c r="H119" i="23" s="1"/>
  <c r="E345" i="23"/>
  <c r="H345" i="23" s="1"/>
  <c r="E277" i="23"/>
  <c r="H277" i="23" s="1"/>
  <c r="E229" i="23"/>
  <c r="H229" i="23" s="1"/>
  <c r="E356" i="23"/>
  <c r="H356" i="23" s="1"/>
  <c r="E354" i="23"/>
  <c r="H354" i="23" s="1"/>
  <c r="E889" i="23"/>
  <c r="H889" i="23" s="1"/>
  <c r="E781" i="23"/>
  <c r="H781" i="23" s="1"/>
  <c r="E674" i="23"/>
  <c r="H674" i="23" s="1"/>
  <c r="E330" i="23"/>
  <c r="H330" i="23" s="1"/>
  <c r="E549" i="23"/>
  <c r="H549" i="23" s="1"/>
  <c r="E439" i="23"/>
  <c r="H439" i="23" s="1"/>
  <c r="E464" i="23"/>
  <c r="H464" i="23" s="1"/>
  <c r="E332" i="23"/>
  <c r="H332" i="23" s="1"/>
  <c r="E565" i="23"/>
  <c r="H565" i="23" s="1"/>
  <c r="E152" i="23"/>
  <c r="H152" i="23" s="1"/>
  <c r="E181" i="23"/>
  <c r="H181" i="23" s="1"/>
  <c r="E216" i="23"/>
  <c r="H216" i="23" s="1"/>
  <c r="E89" i="23"/>
  <c r="H89" i="23" s="1"/>
  <c r="E73" i="23"/>
  <c r="H73" i="23" s="1"/>
  <c r="E184" i="23"/>
  <c r="H184" i="23" s="1"/>
  <c r="E243" i="23"/>
  <c r="H243" i="23" s="1"/>
  <c r="E74" i="23"/>
  <c r="H74" i="23" s="1"/>
  <c r="E40" i="23"/>
  <c r="H40" i="23" s="1"/>
  <c r="E23" i="23"/>
  <c r="H23" i="23" s="1"/>
  <c r="E25" i="23"/>
  <c r="H25" i="23" s="1"/>
  <c r="E16" i="23"/>
  <c r="H16" i="23" s="1"/>
  <c r="E24" i="23"/>
  <c r="H24" i="23" s="1"/>
  <c r="E41" i="23"/>
  <c r="H41" i="23" s="1"/>
  <c r="E312" i="23"/>
  <c r="H312" i="23" s="1"/>
  <c r="E268" i="23"/>
  <c r="H268" i="23" s="1"/>
  <c r="E860" i="23"/>
  <c r="H860" i="23" s="1"/>
  <c r="E556" i="23"/>
  <c r="H556" i="23" s="1"/>
  <c r="E339" i="23"/>
  <c r="H339" i="23" s="1"/>
  <c r="E60" i="23"/>
  <c r="H60" i="23" s="1"/>
  <c r="E378" i="23"/>
  <c r="H378" i="23" s="1"/>
  <c r="E816" i="23"/>
  <c r="H816" i="23" s="1"/>
  <c r="E528" i="23"/>
  <c r="H528" i="23" s="1"/>
  <c r="E554" i="23"/>
  <c r="H554" i="23" s="1"/>
  <c r="E238" i="23"/>
  <c r="H238" i="23" s="1"/>
  <c r="E278" i="23"/>
  <c r="H278" i="23" s="1"/>
  <c r="E725" i="23"/>
  <c r="H725" i="23" s="1"/>
  <c r="E564" i="23"/>
  <c r="H564" i="23" s="1"/>
  <c r="E561" i="23"/>
  <c r="H561" i="23" s="1"/>
  <c r="E237" i="23"/>
  <c r="H237" i="23" s="1"/>
  <c r="E867" i="23"/>
  <c r="H867" i="23" s="1"/>
  <c r="E662" i="23"/>
  <c r="H662" i="23" s="1"/>
  <c r="E315" i="23"/>
  <c r="H315" i="23" s="1"/>
  <c r="E487" i="23"/>
  <c r="H487" i="23" s="1"/>
  <c r="E174" i="23"/>
  <c r="H174" i="23" s="1"/>
  <c r="E125" i="23"/>
  <c r="H125" i="23" s="1"/>
  <c r="E37" i="23"/>
  <c r="H37" i="23" s="1"/>
  <c r="E15" i="23"/>
  <c r="H15" i="23" s="1"/>
  <c r="E580" i="23"/>
  <c r="H580" i="23" s="1"/>
  <c r="E633" i="23"/>
  <c r="H633" i="23" s="1"/>
  <c r="E686" i="23"/>
  <c r="H686" i="23" s="1"/>
  <c r="E726" i="23"/>
  <c r="H726" i="23" s="1"/>
  <c r="E768" i="23"/>
  <c r="H768" i="23" s="1"/>
  <c r="E843" i="23"/>
  <c r="H843" i="23" s="1"/>
  <c r="E776" i="23"/>
  <c r="H776" i="23" s="1"/>
  <c r="E500" i="23"/>
  <c r="H500" i="23" s="1"/>
  <c r="E405" i="23"/>
  <c r="H405" i="23" s="1"/>
  <c r="E579" i="23"/>
  <c r="H579" i="23" s="1"/>
  <c r="E622" i="23"/>
  <c r="H622" i="23" s="1"/>
  <c r="E675" i="23"/>
  <c r="H675" i="23" s="1"/>
  <c r="E715" i="23"/>
  <c r="H715" i="23" s="1"/>
  <c r="E748" i="23"/>
  <c r="H748" i="23" s="1"/>
  <c r="E782" i="23"/>
  <c r="H782" i="23" s="1"/>
  <c r="E814" i="23"/>
  <c r="H814" i="23" s="1"/>
  <c r="E847" i="23"/>
  <c r="H847" i="23" s="1"/>
  <c r="E890" i="23"/>
  <c r="H890" i="23" s="1"/>
  <c r="E787" i="23"/>
  <c r="H787" i="23" s="1"/>
  <c r="E454" i="23"/>
  <c r="H454" i="23" s="1"/>
  <c r="E544" i="23"/>
  <c r="H544" i="23" s="1"/>
  <c r="E403" i="23"/>
  <c r="H403" i="23" s="1"/>
  <c r="E346" i="23"/>
  <c r="H346" i="23" s="1"/>
  <c r="E263" i="23"/>
  <c r="H263" i="23" s="1"/>
  <c r="E621" i="23"/>
  <c r="H621" i="23" s="1"/>
  <c r="E657" i="23"/>
  <c r="H657" i="23" s="1"/>
  <c r="E710" i="23"/>
  <c r="H710" i="23" s="1"/>
  <c r="E747" i="23"/>
  <c r="H747" i="23" s="1"/>
  <c r="E780" i="23"/>
  <c r="H780" i="23" s="1"/>
  <c r="E813" i="23"/>
  <c r="H813" i="23" s="1"/>
  <c r="E846" i="23"/>
  <c r="H846" i="23" s="1"/>
  <c r="E888" i="23"/>
  <c r="H888" i="23" s="1"/>
  <c r="E809" i="23"/>
  <c r="H809" i="23" s="1"/>
  <c r="E442" i="23"/>
  <c r="H442" i="23" s="1"/>
  <c r="E531" i="23"/>
  <c r="H531" i="23" s="1"/>
  <c r="E401" i="23"/>
  <c r="H401" i="23" s="1"/>
  <c r="E342" i="23"/>
  <c r="H342" i="23" s="1"/>
  <c r="E261" i="23"/>
  <c r="H261" i="23" s="1"/>
  <c r="E606" i="23"/>
  <c r="H606" i="23" s="1"/>
  <c r="E644" i="23"/>
  <c r="H644" i="23" s="1"/>
  <c r="E699" i="23"/>
  <c r="H699" i="23" s="1"/>
  <c r="E736" i="23"/>
  <c r="H736" i="23" s="1"/>
  <c r="E770" i="23"/>
  <c r="H770" i="23" s="1"/>
  <c r="E802" i="23"/>
  <c r="H802" i="23" s="1"/>
  <c r="E835" i="23"/>
  <c r="H835" i="23" s="1"/>
  <c r="E878" i="23"/>
  <c r="H878" i="23" s="1"/>
  <c r="E894" i="23"/>
  <c r="H894" i="23" s="1"/>
  <c r="E638" i="23"/>
  <c r="H638" i="23" s="1"/>
  <c r="E481" i="23"/>
  <c r="H481" i="23" s="1"/>
  <c r="E385" i="23"/>
  <c r="H385" i="23" s="1"/>
  <c r="E714" i="23"/>
  <c r="H714" i="23" s="1"/>
  <c r="E383" i="23"/>
  <c r="H383" i="23" s="1"/>
  <c r="E285" i="23"/>
  <c r="H285" i="23" s="1"/>
  <c r="E247" i="23"/>
  <c r="H247" i="23" s="1"/>
  <c r="E98" i="23"/>
  <c r="H98" i="23" s="1"/>
  <c r="E114" i="23"/>
  <c r="H114" i="23" s="1"/>
  <c r="E279" i="23"/>
  <c r="H279" i="23" s="1"/>
  <c r="E868" i="23"/>
  <c r="H868" i="23" s="1"/>
  <c r="E359" i="23"/>
  <c r="H359" i="23" s="1"/>
  <c r="E320" i="23"/>
  <c r="H320" i="23" s="1"/>
  <c r="E165" i="23"/>
  <c r="H165" i="23" s="1"/>
  <c r="E267" i="23"/>
  <c r="H267" i="23" s="1"/>
  <c r="E581" i="23"/>
  <c r="H581" i="23" s="1"/>
  <c r="E343" i="23"/>
  <c r="H343" i="23" s="1"/>
  <c r="E207" i="23"/>
  <c r="H207" i="23" s="1"/>
  <c r="E64" i="23"/>
  <c r="H64" i="23" s="1"/>
  <c r="E661" i="23"/>
  <c r="H661" i="23" s="1"/>
  <c r="E545" i="23"/>
  <c r="H545" i="23" s="1"/>
  <c r="E450" i="23"/>
  <c r="H450" i="23" s="1"/>
  <c r="E100" i="23"/>
  <c r="H100" i="23" s="1"/>
  <c r="E535" i="23"/>
  <c r="H535" i="23" s="1"/>
  <c r="E705" i="23"/>
  <c r="H705" i="23" s="1"/>
  <c r="E424" i="23"/>
  <c r="H424" i="23" s="1"/>
  <c r="E173" i="23"/>
  <c r="H173" i="23" s="1"/>
  <c r="E42" i="23"/>
  <c r="H42" i="23" s="1"/>
  <c r="E12" i="23"/>
  <c r="H12" i="23" s="1"/>
  <c r="E624" i="23"/>
  <c r="H624" i="23" s="1"/>
  <c r="E676" i="23"/>
  <c r="H676" i="23" s="1"/>
  <c r="E716" i="23"/>
  <c r="H716" i="23" s="1"/>
  <c r="E750" i="23"/>
  <c r="H750" i="23" s="1"/>
  <c r="E825" i="23"/>
  <c r="H825" i="23" s="1"/>
  <c r="E900" i="23"/>
  <c r="H900" i="23" s="1"/>
  <c r="E478" i="23"/>
  <c r="H478" i="23" s="1"/>
  <c r="E419" i="23"/>
  <c r="H419" i="23" s="1"/>
  <c r="E265" i="23"/>
  <c r="H265" i="23" s="1"/>
  <c r="E613" i="23"/>
  <c r="H613" i="23" s="1"/>
  <c r="E651" i="23"/>
  <c r="H651" i="23" s="1"/>
  <c r="E706" i="23"/>
  <c r="H706" i="23" s="1"/>
  <c r="E739" i="23"/>
  <c r="H739" i="23" s="1"/>
  <c r="E772" i="23"/>
  <c r="H772" i="23" s="1"/>
  <c r="E805" i="23"/>
  <c r="H805" i="23" s="1"/>
  <c r="E838" i="23"/>
  <c r="H838" i="23" s="1"/>
  <c r="E880" i="23"/>
  <c r="H880" i="23" s="1"/>
  <c r="E853" i="23"/>
  <c r="H853" i="23" s="1"/>
  <c r="E611" i="23"/>
  <c r="H611" i="23" s="1"/>
  <c r="E515" i="23"/>
  <c r="H515" i="23" s="1"/>
  <c r="E410" i="23"/>
  <c r="H410" i="23" s="1"/>
  <c r="E368" i="23"/>
  <c r="H368" i="23" s="1"/>
  <c r="E298" i="23"/>
  <c r="H298" i="23" s="1"/>
  <c r="E612" i="23"/>
  <c r="H612" i="23" s="1"/>
  <c r="E650" i="23"/>
  <c r="H650" i="23" s="1"/>
  <c r="E700" i="23"/>
  <c r="H700" i="23" s="1"/>
  <c r="E738" i="23"/>
  <c r="H738" i="23" s="1"/>
  <c r="E771" i="23"/>
  <c r="H771" i="23" s="1"/>
  <c r="E803" i="23"/>
  <c r="H803" i="23" s="1"/>
  <c r="E837" i="23"/>
  <c r="H837" i="23" s="1"/>
  <c r="E879" i="23"/>
  <c r="H879" i="23" s="1"/>
  <c r="E884" i="23"/>
  <c r="H884" i="23" s="1"/>
  <c r="E620" i="23"/>
  <c r="H620" i="23" s="1"/>
  <c r="E511" i="23"/>
  <c r="H511" i="23" s="1"/>
  <c r="E423" i="23"/>
  <c r="H423" i="23" s="1"/>
  <c r="E366" i="23"/>
  <c r="H366" i="23" s="1"/>
  <c r="E296" i="23"/>
  <c r="H296" i="23" s="1"/>
  <c r="E592" i="23"/>
  <c r="H592" i="23" s="1"/>
  <c r="E634" i="23"/>
  <c r="H634" i="23" s="1"/>
  <c r="E688" i="23"/>
  <c r="H688" i="23" s="1"/>
  <c r="E727" i="23"/>
  <c r="H727" i="23" s="1"/>
  <c r="E760" i="23"/>
  <c r="H760" i="23" s="1"/>
  <c r="E794" i="23"/>
  <c r="H794" i="23" s="1"/>
  <c r="E826" i="23"/>
  <c r="H826" i="23" s="1"/>
  <c r="E859" i="23"/>
  <c r="H859" i="23" s="1"/>
  <c r="E911" i="23"/>
  <c r="H911" i="23" s="1"/>
  <c r="E704" i="23"/>
  <c r="H704" i="23" s="1"/>
  <c r="E462" i="23"/>
  <c r="H462" i="23" s="1"/>
  <c r="E555" i="23"/>
  <c r="H555" i="23" s="1"/>
  <c r="E392" i="23"/>
  <c r="H392" i="23" s="1"/>
  <c r="E329" i="23"/>
  <c r="H329" i="23" s="1"/>
  <c r="E792" i="23"/>
  <c r="H792" i="23" s="1"/>
  <c r="E849" i="23"/>
  <c r="H849" i="23" s="1"/>
  <c r="E842" i="23"/>
  <c r="H842" i="23" s="1"/>
  <c r="E412" i="23"/>
  <c r="H412" i="23" s="1"/>
  <c r="E322" i="23"/>
  <c r="H322" i="23" s="1"/>
  <c r="E209" i="23"/>
  <c r="H209" i="23" s="1"/>
  <c r="E135" i="23"/>
  <c r="H135" i="23" s="1"/>
  <c r="E79" i="23"/>
  <c r="H79" i="23" s="1"/>
  <c r="E913" i="23"/>
  <c r="H913" i="23" s="1"/>
  <c r="E594" i="23"/>
  <c r="H594" i="23" s="1"/>
  <c r="E425" i="23"/>
  <c r="H425" i="23" s="1"/>
  <c r="E17" i="23"/>
  <c r="H17" i="23" s="1"/>
  <c r="E666" i="23"/>
  <c r="H666" i="23" s="1"/>
  <c r="E355" i="23"/>
  <c r="H355" i="23" s="1"/>
  <c r="E897" i="23"/>
  <c r="H897" i="23" s="1"/>
  <c r="E789" i="23"/>
  <c r="H789" i="23" s="1"/>
  <c r="E678" i="23"/>
  <c r="H678" i="23" s="1"/>
  <c r="E305" i="23"/>
  <c r="H305" i="23" s="1"/>
  <c r="E422" i="23"/>
  <c r="H422" i="23" s="1"/>
  <c r="E471" i="23"/>
  <c r="H471" i="23" s="1"/>
  <c r="E491" i="23"/>
  <c r="H491" i="23" s="1"/>
  <c r="E327" i="23"/>
  <c r="H327" i="23" s="1"/>
  <c r="E449" i="23"/>
  <c r="H449" i="23" s="1"/>
  <c r="E151" i="23"/>
  <c r="H151" i="23" s="1"/>
  <c r="I153" i="23" s="1"/>
  <c r="E215" i="23"/>
  <c r="H215" i="23" s="1"/>
  <c r="E104" i="23"/>
  <c r="H104" i="23" s="1"/>
  <c r="E597" i="23"/>
  <c r="H597" i="23" s="1"/>
  <c r="E231" i="23"/>
  <c r="H231" i="23" s="1"/>
  <c r="E147" i="23"/>
  <c r="H147" i="23" s="1"/>
  <c r="E357" i="23"/>
  <c r="H357" i="23" s="1"/>
  <c r="E591" i="23"/>
  <c r="H591" i="23" s="1"/>
  <c r="E844" i="23"/>
  <c r="H844" i="23" s="1"/>
  <c r="E745" i="23"/>
  <c r="H745" i="23" s="1"/>
  <c r="E615" i="23"/>
  <c r="H615" i="23" s="1"/>
  <c r="E323" i="23"/>
  <c r="H323" i="23" s="1"/>
  <c r="E563" i="23"/>
  <c r="H563" i="23" s="1"/>
  <c r="E451" i="23"/>
  <c r="H451" i="23" s="1"/>
  <c r="E472" i="23"/>
  <c r="H472" i="23" s="1"/>
  <c r="E321" i="23"/>
  <c r="H321" i="23" s="1"/>
  <c r="E469" i="23"/>
  <c r="H469" i="23" s="1"/>
  <c r="E172" i="23"/>
  <c r="H172" i="23" s="1"/>
  <c r="E197" i="23"/>
  <c r="H197" i="23" s="1"/>
  <c r="E225" i="23"/>
  <c r="H225" i="23" s="1"/>
  <c r="E93" i="23"/>
  <c r="H93" i="23" s="1"/>
  <c r="E133" i="23"/>
  <c r="H133" i="23" s="1"/>
  <c r="E68" i="23"/>
  <c r="H68" i="23" s="1"/>
  <c r="E870" i="23"/>
  <c r="H870" i="23" s="1"/>
  <c r="E593" i="23"/>
  <c r="H593" i="23" s="1"/>
  <c r="E521" i="23"/>
  <c r="H521" i="23" s="1"/>
  <c r="E167" i="23"/>
  <c r="H167" i="23" s="1"/>
  <c r="E667" i="23"/>
  <c r="H667" i="23" s="1"/>
  <c r="E358" i="23"/>
  <c r="H358" i="23" s="1"/>
  <c r="E848" i="23"/>
  <c r="H848" i="23" s="1"/>
  <c r="E749" i="23"/>
  <c r="H749" i="23" s="1"/>
  <c r="E623" i="23"/>
  <c r="H623" i="23" s="1"/>
  <c r="E319" i="23"/>
  <c r="H319" i="23" s="1"/>
  <c r="E429" i="23"/>
  <c r="H429" i="23" s="1"/>
  <c r="E459" i="23"/>
  <c r="H459" i="23" s="1"/>
  <c r="E483" i="23"/>
  <c r="H483" i="23" s="1"/>
  <c r="E313" i="23"/>
  <c r="H313" i="23" s="1"/>
  <c r="E420" i="23"/>
  <c r="H420" i="23" s="1"/>
  <c r="E473" i="23"/>
  <c r="H473" i="23" s="1"/>
  <c r="E168" i="23"/>
  <c r="H168" i="23" s="1"/>
  <c r="E196" i="23"/>
  <c r="H196" i="23" s="1"/>
  <c r="E224" i="23"/>
  <c r="H224" i="23" s="1"/>
  <c r="E92" i="23"/>
  <c r="H92" i="23" s="1"/>
  <c r="E128" i="23"/>
  <c r="H128" i="23" s="1"/>
  <c r="E69" i="23"/>
  <c r="H69" i="23" s="1"/>
  <c r="E595" i="23"/>
  <c r="H595" i="23" s="1"/>
  <c r="E55" i="23"/>
  <c r="H55" i="23" s="1"/>
  <c r="E684" i="23"/>
  <c r="H684" i="23" s="1"/>
  <c r="E571" i="23"/>
  <c r="H571" i="23" s="1"/>
  <c r="E664" i="23"/>
  <c r="H664" i="23" s="1"/>
  <c r="E683" i="23"/>
  <c r="H683" i="23" s="1"/>
  <c r="E832" i="23"/>
  <c r="H832" i="23" s="1"/>
  <c r="E729" i="23"/>
  <c r="H729" i="23" s="1"/>
  <c r="E286" i="23"/>
  <c r="H286" i="23" s="1"/>
  <c r="E402" i="23"/>
  <c r="H402" i="23" s="1"/>
  <c r="E490" i="23"/>
  <c r="H490" i="23" s="1"/>
  <c r="E509" i="23"/>
  <c r="H509" i="23" s="1"/>
  <c r="E293" i="23"/>
  <c r="H293" i="23" s="1"/>
  <c r="E393" i="23"/>
  <c r="H393" i="23" s="1"/>
  <c r="E506" i="23"/>
  <c r="H506" i="23" s="1"/>
  <c r="E166" i="23"/>
  <c r="H166" i="23" s="1"/>
  <c r="E195" i="23"/>
  <c r="H195" i="23" s="1"/>
  <c r="E236" i="23"/>
  <c r="H236" i="23" s="1"/>
  <c r="E127" i="23"/>
  <c r="H127" i="23" s="1"/>
  <c r="E461" i="23"/>
  <c r="H461" i="23" s="1"/>
  <c r="E208" i="23"/>
  <c r="H208" i="23" s="1"/>
  <c r="E106" i="23"/>
  <c r="H106" i="23" s="1"/>
  <c r="E54" i="23"/>
  <c r="H54" i="23" s="1"/>
  <c r="E22" i="23"/>
  <c r="H22" i="23" s="1"/>
  <c r="E43" i="23"/>
  <c r="H43" i="23" s="1"/>
  <c r="E46" i="23"/>
  <c r="H46" i="23" s="1"/>
  <c r="E20" i="23"/>
  <c r="E14" i="23"/>
  <c r="H14" i="23" s="1"/>
  <c r="E810" i="23"/>
  <c r="H810" i="23" s="1"/>
  <c r="E90" i="23"/>
  <c r="H90" i="23" s="1"/>
  <c r="E639" i="23"/>
  <c r="H639" i="23" s="1"/>
  <c r="E468" i="23"/>
  <c r="H468" i="23" s="1"/>
  <c r="E235" i="23"/>
  <c r="H235" i="23" s="1"/>
  <c r="E866" i="23"/>
  <c r="H866" i="23" s="1"/>
  <c r="E765" i="23"/>
  <c r="H765" i="23" s="1"/>
  <c r="E367" i="23"/>
  <c r="H367" i="23" s="1"/>
  <c r="E452" i="23"/>
  <c r="H452" i="23" s="1"/>
  <c r="E176" i="23"/>
  <c r="H176" i="23" s="1"/>
  <c r="E140" i="23"/>
  <c r="H140" i="23" s="1"/>
  <c r="E824" i="23"/>
  <c r="H824" i="23" s="1"/>
  <c r="E341" i="23"/>
  <c r="H341" i="23" s="1"/>
  <c r="E328" i="23"/>
  <c r="H328" i="23" s="1"/>
  <c r="E203" i="23"/>
  <c r="H203" i="23" s="1"/>
  <c r="E63" i="23"/>
  <c r="H63" i="23" s="1"/>
  <c r="E21" i="23"/>
  <c r="H21" i="23" s="1"/>
  <c r="E804" i="23"/>
  <c r="H804" i="23" s="1"/>
  <c r="E463" i="23"/>
  <c r="H463" i="23" s="1"/>
  <c r="E453" i="23"/>
  <c r="H453" i="23" s="1"/>
  <c r="E85" i="23"/>
  <c r="H85" i="23" s="1"/>
  <c r="E134" i="23"/>
  <c r="H134" i="23" s="1"/>
  <c r="E19" i="23"/>
  <c r="H19" i="23" s="1"/>
  <c r="E690" i="23"/>
  <c r="H690" i="23" s="1"/>
  <c r="E614" i="23"/>
  <c r="H614" i="23" s="1"/>
  <c r="E653" i="23"/>
  <c r="H653" i="23" s="1"/>
  <c r="E707" i="23"/>
  <c r="H707" i="23" s="1"/>
  <c r="E740" i="23"/>
  <c r="H740" i="23" s="1"/>
  <c r="E801" i="23"/>
  <c r="H801" i="23" s="1"/>
  <c r="E886" i="23"/>
  <c r="H886" i="23" s="1"/>
  <c r="E458" i="23"/>
  <c r="H458" i="23" s="1"/>
  <c r="E548" i="23"/>
  <c r="H548" i="23" s="1"/>
  <c r="E306" i="23"/>
  <c r="H306" i="23" s="1"/>
  <c r="E604" i="23"/>
  <c r="H604" i="23" s="1"/>
  <c r="E641" i="23"/>
  <c r="H641" i="23" s="1"/>
  <c r="E696" i="23"/>
  <c r="H696" i="23" s="1"/>
  <c r="E730" i="23"/>
  <c r="H730" i="23" s="1"/>
  <c r="E767" i="23"/>
  <c r="H767" i="23" s="1"/>
  <c r="E799" i="23"/>
  <c r="H799" i="23" s="1"/>
  <c r="E833" i="23"/>
  <c r="H833" i="23" s="1"/>
  <c r="E876" i="23"/>
  <c r="H876" i="23" s="1"/>
  <c r="E673" i="23"/>
  <c r="H673" i="23" s="1"/>
  <c r="E496" i="23"/>
  <c r="H496" i="23" s="1"/>
  <c r="E374" i="23"/>
  <c r="H374" i="23" s="1"/>
  <c r="E304" i="23"/>
  <c r="H304" i="23" s="1"/>
  <c r="E602" i="23"/>
  <c r="H602" i="23" s="1"/>
  <c r="E640" i="23"/>
  <c r="H640" i="23" s="1"/>
  <c r="E695" i="23"/>
  <c r="H695" i="23" s="1"/>
  <c r="E728" i="23"/>
  <c r="H728" i="23" s="1"/>
  <c r="E766" i="23"/>
  <c r="H766" i="23" s="1"/>
  <c r="E798" i="23"/>
  <c r="H798" i="23" s="1"/>
  <c r="E827" i="23"/>
  <c r="H827" i="23" s="1"/>
  <c r="E875" i="23"/>
  <c r="H875" i="23" s="1"/>
  <c r="E912" i="23"/>
  <c r="H912" i="23" s="1"/>
  <c r="E694" i="23"/>
  <c r="H694" i="23" s="1"/>
  <c r="E489" i="23"/>
  <c r="H489" i="23" s="1"/>
  <c r="E387" i="23"/>
  <c r="H387" i="23" s="1"/>
  <c r="E314" i="23"/>
  <c r="H314" i="23" s="1"/>
  <c r="E582" i="23"/>
  <c r="H582" i="23" s="1"/>
  <c r="E625" i="23"/>
  <c r="H625" i="23" s="1"/>
  <c r="E677" i="23"/>
  <c r="H677" i="23" s="1"/>
  <c r="E718" i="23"/>
  <c r="H718" i="23" s="1"/>
  <c r="E755" i="23"/>
  <c r="H755" i="23" s="1"/>
  <c r="E788" i="23"/>
  <c r="H788" i="23" s="1"/>
  <c r="E821" i="23"/>
  <c r="H821" i="23" s="1"/>
  <c r="E854" i="23"/>
  <c r="H854" i="23" s="1"/>
  <c r="E896" i="23"/>
  <c r="H896" i="23" s="1"/>
  <c r="E754" i="23"/>
  <c r="H754" i="23" s="1"/>
  <c r="E441" i="23"/>
  <c r="H441" i="23" s="1"/>
  <c r="E527" i="23"/>
  <c r="H527" i="23" s="1"/>
  <c r="E414" i="23"/>
  <c r="H414" i="23" s="1"/>
  <c r="E340" i="23"/>
  <c r="H340" i="23" s="1"/>
  <c r="E276" i="23"/>
  <c r="H276" i="23" s="1"/>
  <c r="E778" i="23"/>
  <c r="H778" i="23" s="1"/>
  <c r="E834" i="23"/>
  <c r="H834" i="23" s="1"/>
  <c r="E904" i="23"/>
  <c r="E570" i="23"/>
  <c r="H570" i="23" s="1"/>
  <c r="E338" i="23"/>
  <c r="H338" i="23" s="1"/>
  <c r="E480" i="23"/>
  <c r="H480" i="23" s="1"/>
  <c r="E115" i="23"/>
  <c r="H115" i="23" s="1"/>
  <c r="E158" i="23"/>
  <c r="H158" i="23" s="1"/>
  <c r="E61" i="23"/>
  <c r="H61" i="23" s="1"/>
  <c r="E689" i="23"/>
  <c r="H689" i="23" s="1"/>
  <c r="E585" i="23"/>
  <c r="H585" i="23" s="1"/>
  <c r="E537" i="23"/>
  <c r="H537" i="23" s="1"/>
  <c r="E669" i="23"/>
  <c r="H669" i="23" s="1"/>
  <c r="E820" i="23"/>
  <c r="H820" i="23" s="1"/>
  <c r="E812" i="23"/>
  <c r="H812" i="23" s="1"/>
  <c r="E709" i="23"/>
  <c r="H709" i="23" s="1"/>
  <c r="E284" i="23"/>
  <c r="H284" i="23" s="1"/>
  <c r="E400" i="23"/>
  <c r="H400" i="23" s="1"/>
  <c r="E497" i="23"/>
  <c r="H497" i="23" s="1"/>
  <c r="E517" i="23"/>
  <c r="H517" i="23" s="1"/>
  <c r="E275" i="23"/>
  <c r="H275" i="23" s="1"/>
  <c r="E411" i="23"/>
  <c r="H411" i="23" s="1"/>
  <c r="E488" i="23"/>
  <c r="H488" i="23" s="1"/>
  <c r="E201" i="23"/>
  <c r="H201" i="23" s="1"/>
  <c r="E126" i="23"/>
  <c r="H126" i="23" s="1"/>
  <c r="E596" i="23"/>
  <c r="H596" i="23" s="1"/>
  <c r="E56" i="23"/>
  <c r="H56" i="23" s="1"/>
  <c r="E266" i="23"/>
  <c r="H266" i="23" s="1"/>
  <c r="E536" i="23"/>
  <c r="H536" i="23" s="1"/>
  <c r="E656" i="23"/>
  <c r="H656" i="23" s="1"/>
  <c r="E353" i="23"/>
  <c r="H353" i="23" s="1"/>
  <c r="E877" i="23"/>
  <c r="H877" i="23" s="1"/>
  <c r="E769" i="23"/>
  <c r="H769" i="23" s="1"/>
  <c r="E643" i="23"/>
  <c r="H643" i="23" s="1"/>
  <c r="E303" i="23"/>
  <c r="H303" i="23" s="1"/>
  <c r="E409" i="23"/>
  <c r="H409" i="23" s="1"/>
  <c r="E479" i="23"/>
  <c r="H479" i="23" s="1"/>
  <c r="E498" i="23"/>
  <c r="H498" i="23" s="1"/>
  <c r="E295" i="23"/>
  <c r="H295" i="23" s="1"/>
  <c r="E415" i="23"/>
  <c r="H415" i="23" s="1"/>
  <c r="E492" i="23"/>
  <c r="H492" i="23" s="1"/>
  <c r="E161" i="23"/>
  <c r="H161" i="23" s="1"/>
  <c r="E190" i="23"/>
  <c r="H190" i="23" s="1"/>
  <c r="E218" i="23"/>
  <c r="H218" i="23" s="1"/>
  <c r="E87" i="23"/>
  <c r="H87" i="23" s="1"/>
  <c r="E121" i="23"/>
  <c r="H121" i="23" s="1"/>
  <c r="E78" i="23"/>
  <c r="H78" i="23" s="1"/>
  <c r="E344" i="23"/>
  <c r="H344" i="23" s="1"/>
  <c r="E287" i="23"/>
  <c r="H287" i="23" s="1"/>
  <c r="E146" i="23"/>
  <c r="H146" i="23" s="1"/>
  <c r="E91" i="23"/>
  <c r="H91" i="23" s="1"/>
  <c r="E350" i="23"/>
  <c r="H350" i="23" s="1"/>
  <c r="E885" i="23"/>
  <c r="H885" i="23" s="1"/>
  <c r="E777" i="23"/>
  <c r="H777" i="23" s="1"/>
  <c r="E652" i="23"/>
  <c r="H652" i="23" s="1"/>
  <c r="E297" i="23"/>
  <c r="H297" i="23" s="1"/>
  <c r="E413" i="23"/>
  <c r="H413" i="23" s="1"/>
  <c r="E482" i="23"/>
  <c r="H482" i="23" s="1"/>
  <c r="E505" i="23"/>
  <c r="H505" i="23" s="1"/>
  <c r="E299" i="23"/>
  <c r="H299" i="23" s="1"/>
  <c r="E404" i="23"/>
  <c r="H404" i="23" s="1"/>
  <c r="E499" i="23"/>
  <c r="H499" i="23" s="1"/>
  <c r="E160" i="23"/>
  <c r="H160" i="23" s="1"/>
  <c r="E189" i="23"/>
  <c r="H189" i="23" s="1"/>
  <c r="E217" i="23"/>
  <c r="H217" i="23" s="1"/>
  <c r="E86" i="23"/>
  <c r="H86" i="23" s="1"/>
  <c r="E120" i="23"/>
  <c r="H120" i="23" s="1"/>
  <c r="E84" i="23"/>
  <c r="H84" i="23" s="1"/>
  <c r="E289" i="23"/>
  <c r="H289" i="23" s="1"/>
  <c r="E865" i="23"/>
  <c r="H865" i="23" s="1"/>
  <c r="E538" i="23"/>
  <c r="H538" i="23" s="1"/>
  <c r="E242" i="23"/>
  <c r="H242" i="23" s="1"/>
  <c r="E655" i="23"/>
  <c r="H655" i="23" s="1"/>
  <c r="E352" i="23"/>
  <c r="H352" i="23" s="1"/>
  <c r="E856" i="23"/>
  <c r="H856" i="23" s="1"/>
  <c r="E757" i="23"/>
  <c r="H757" i="23" s="1"/>
  <c r="E603" i="23"/>
  <c r="H603" i="23" s="1"/>
  <c r="E382" i="23"/>
  <c r="H382" i="23" s="1"/>
  <c r="E516" i="23"/>
  <c r="H516" i="23" s="1"/>
  <c r="E546" i="23"/>
  <c r="H546" i="23" s="1"/>
  <c r="E440" i="23"/>
  <c r="H440" i="23" s="1"/>
  <c r="E365" i="23"/>
  <c r="H365" i="23" s="1"/>
  <c r="E530" i="23"/>
  <c r="H530" i="23" s="1"/>
  <c r="E159" i="23"/>
  <c r="H159" i="23" s="1"/>
  <c r="E185" i="23"/>
  <c r="H185" i="23" s="1"/>
  <c r="E223" i="23"/>
  <c r="H223" i="23" s="1"/>
  <c r="E111" i="23"/>
  <c r="H111" i="23" s="1"/>
  <c r="E307" i="23"/>
  <c r="H307" i="23" s="1"/>
  <c r="E191" i="23"/>
  <c r="H191" i="23" s="1"/>
  <c r="E88" i="23"/>
  <c r="H88" i="23" s="1"/>
  <c r="E53" i="23"/>
  <c r="H53" i="23" s="1"/>
  <c r="E44" i="23"/>
  <c r="H44" i="23" s="1"/>
  <c r="E13" i="23"/>
  <c r="H13" i="23" s="1"/>
  <c r="E39" i="23"/>
  <c r="H39" i="23" s="1"/>
  <c r="E45" i="23"/>
  <c r="H45" i="23" s="1"/>
  <c r="E584" i="23"/>
  <c r="H584" i="23" s="1"/>
  <c r="E540" i="23"/>
  <c r="H540" i="23" s="1"/>
  <c r="E761" i="23"/>
  <c r="H761" i="23" s="1"/>
  <c r="E443" i="23"/>
  <c r="H443" i="23" s="1"/>
  <c r="E547" i="23"/>
  <c r="H547" i="23" s="1"/>
  <c r="E288" i="23"/>
  <c r="H288" i="23" s="1"/>
  <c r="E663" i="23"/>
  <c r="H663" i="23" s="1"/>
  <c r="E717" i="23"/>
  <c r="H717" i="23" s="1"/>
  <c r="E557" i="23"/>
  <c r="H557" i="23" s="1"/>
  <c r="E445" i="23"/>
  <c r="H445" i="23" s="1"/>
  <c r="E105" i="23"/>
  <c r="H105" i="23" s="1"/>
  <c r="E869" i="23"/>
  <c r="H869" i="23" s="1"/>
  <c r="E724" i="23"/>
  <c r="H724" i="23" s="1"/>
  <c r="E460" i="23"/>
  <c r="H460" i="23" s="1"/>
  <c r="E175" i="23"/>
  <c r="H175" i="23" s="1"/>
  <c r="E139" i="23"/>
  <c r="H139" i="23" s="1"/>
  <c r="E874" i="23"/>
  <c r="H874" i="23" s="1"/>
  <c r="E311" i="23"/>
  <c r="H311" i="23" s="1"/>
  <c r="E202" i="23"/>
  <c r="H202" i="23" s="1"/>
  <c r="E222" i="23"/>
  <c r="H222" i="23" s="1"/>
  <c r="E18" i="23"/>
  <c r="H18" i="23" s="1"/>
  <c r="E38" i="23"/>
  <c r="H38" i="23" s="1"/>
  <c r="H20" i="23"/>
  <c r="H562" i="23"/>
  <c r="H27" i="23" l="1"/>
  <c r="H252" i="23"/>
  <c r="I252" i="23" s="1"/>
  <c r="H904" i="23"/>
  <c r="I904" i="23" s="1"/>
  <c r="I248" i="23"/>
  <c r="I915" i="23"/>
  <c r="I917" i="23" s="1"/>
  <c r="I31" i="23"/>
  <c r="F10" i="24" s="1"/>
  <c r="I890" i="23"/>
  <c r="I644" i="23"/>
  <c r="I634" i="23"/>
  <c r="I740" i="23"/>
  <c r="I838" i="23"/>
  <c r="I690" i="23"/>
  <c r="I625" i="23"/>
  <c r="I816" i="23"/>
  <c r="I607" i="23"/>
  <c r="I657" i="23"/>
  <c r="I761" i="23"/>
  <c r="I880" i="23"/>
  <c r="I679" i="23"/>
  <c r="I772" i="23"/>
  <c r="I849" i="23"/>
  <c r="I860" i="23"/>
  <c r="I870" i="23"/>
  <c r="I750" i="23"/>
  <c r="I730" i="23"/>
  <c r="I827" i="23"/>
  <c r="I700" i="23"/>
  <c r="I805" i="23"/>
  <c r="I710" i="23"/>
  <c r="I616" i="23"/>
  <c r="I669" i="23"/>
  <c r="I720" i="23"/>
  <c r="I900" i="23"/>
  <c r="I794" i="23"/>
  <c r="I783" i="23"/>
  <c r="I74" i="23"/>
  <c r="I141" i="23"/>
  <c r="I474" i="23"/>
  <c r="I161" i="23"/>
  <c r="I387" i="23"/>
  <c r="I56" i="23"/>
  <c r="I323" i="23"/>
  <c r="I586" i="23"/>
  <c r="I270" i="23"/>
  <c r="I100" i="23"/>
  <c r="I48" i="23"/>
  <c r="I79" i="23"/>
  <c r="I191" i="23"/>
  <c r="I571" i="23"/>
  <c r="I511" i="23"/>
  <c r="I315" i="23"/>
  <c r="I197" i="23"/>
  <c r="I435" i="23"/>
  <c r="I243" i="23"/>
  <c r="I94" i="23"/>
  <c r="I359" i="23"/>
  <c r="I415" i="23"/>
  <c r="I203" i="23"/>
  <c r="I69" i="23"/>
  <c r="I106" i="23"/>
  <c r="I333" i="23"/>
  <c r="I210" i="23"/>
  <c r="I168" i="23"/>
  <c r="I549" i="23"/>
  <c r="I218" i="23"/>
  <c r="I557" i="23"/>
  <c r="I378" i="23"/>
  <c r="I135" i="23"/>
  <c r="I225" i="23"/>
  <c r="I280" i="23"/>
  <c r="I289" i="23"/>
  <c r="I346" i="23"/>
  <c r="I464" i="23"/>
  <c r="I597" i="23"/>
  <c r="I454" i="23"/>
  <c r="I128" i="23"/>
  <c r="I64" i="23"/>
  <c r="I368" i="23"/>
  <c r="I405" i="23"/>
  <c r="I501" i="23"/>
  <c r="I483" i="23"/>
  <c r="I540" i="23"/>
  <c r="I566" i="23"/>
  <c r="I445" i="23"/>
  <c r="I231" i="23"/>
  <c r="I396" i="23"/>
  <c r="I307" i="23"/>
  <c r="I238" i="23"/>
  <c r="I299" i="23"/>
  <c r="I177" i="23"/>
  <c r="I521" i="23"/>
  <c r="I425" i="23"/>
  <c r="I492" i="23"/>
  <c r="I185" i="23"/>
  <c r="I121" i="23"/>
  <c r="I115" i="23"/>
  <c r="I147" i="23"/>
  <c r="N535" i="1"/>
  <c r="H529" i="23"/>
  <c r="I531" i="23" s="1"/>
  <c r="C34" i="28" l="1"/>
  <c r="I573" i="23"/>
  <c r="I254" i="23"/>
  <c r="I906" i="23"/>
  <c r="C35" i="28"/>
  <c r="C26" i="28"/>
  <c r="C30" i="28"/>
  <c r="C38" i="28"/>
  <c r="C27" i="28"/>
  <c r="C28" i="28"/>
  <c r="C17" i="28"/>
  <c r="C36" i="28"/>
  <c r="C37" i="28"/>
  <c r="C16" i="28"/>
  <c r="C10" i="28"/>
  <c r="C25" i="28"/>
  <c r="C12" i="28"/>
  <c r="C14" i="28"/>
  <c r="C15" i="28"/>
  <c r="C33" i="28"/>
  <c r="C20" i="28"/>
  <c r="C19" i="28"/>
  <c r="C11" i="28"/>
  <c r="C21" i="28"/>
  <c r="C32" i="28"/>
  <c r="C24" i="28"/>
  <c r="C18" i="28"/>
  <c r="C23" i="28"/>
  <c r="C29" i="28"/>
  <c r="C39" i="28"/>
  <c r="C31" i="28"/>
  <c r="C9" i="28"/>
  <c r="C13" i="28"/>
  <c r="J26" i="4"/>
  <c r="J28" i="4" s="1"/>
  <c r="F12" i="24" l="1"/>
  <c r="F16" i="24"/>
  <c r="I919" i="23"/>
  <c r="F18" i="24"/>
  <c r="C22" i="28"/>
  <c r="AD26" i="4"/>
  <c r="N26" i="4"/>
  <c r="N28" i="4" s="1"/>
  <c r="Z26" i="4"/>
  <c r="F14" i="24"/>
  <c r="R26" i="4"/>
  <c r="V26" i="4"/>
  <c r="C40" i="28" l="1"/>
  <c r="D22" i="28" s="1"/>
  <c r="AD27" i="4"/>
  <c r="R28" i="4"/>
  <c r="V28" i="4" s="1"/>
  <c r="Z28" i="4" s="1"/>
  <c r="AD28" i="4" s="1"/>
  <c r="Z27" i="4"/>
  <c r="N27" i="4"/>
  <c r="G14" i="24"/>
  <c r="G15" i="24"/>
  <c r="J27" i="4"/>
  <c r="J29" i="4" s="1"/>
  <c r="R27" i="4"/>
  <c r="V27" i="4"/>
  <c r="D10" i="28" l="1"/>
  <c r="D35" i="28"/>
  <c r="D17" i="28"/>
  <c r="D27" i="28"/>
  <c r="D38" i="28"/>
  <c r="D34" i="28"/>
  <c r="D36" i="28"/>
  <c r="D16" i="28"/>
  <c r="D26" i="28"/>
  <c r="D30" i="28"/>
  <c r="D28" i="28"/>
  <c r="D37" i="28"/>
  <c r="D14" i="28"/>
  <c r="D25" i="28"/>
  <c r="D13" i="28"/>
  <c r="D15" i="28"/>
  <c r="D18" i="28"/>
  <c r="D24" i="28"/>
  <c r="D23" i="28"/>
  <c r="D9" i="28"/>
  <c r="E9" i="28" s="1"/>
  <c r="D32" i="28"/>
  <c r="D21" i="28"/>
  <c r="D33" i="28"/>
  <c r="D20" i="28"/>
  <c r="D19" i="28"/>
  <c r="D12" i="28"/>
  <c r="D29" i="28"/>
  <c r="D31" i="28"/>
  <c r="D39" i="28"/>
  <c r="D11" i="28"/>
  <c r="N29" i="4"/>
  <c r="R29" i="4" s="1"/>
  <c r="V29" i="4" s="1"/>
  <c r="Z29" i="4" s="1"/>
  <c r="AD29" i="4" s="1"/>
  <c r="E12" i="24"/>
  <c r="E16" i="24"/>
  <c r="E18" i="24"/>
  <c r="E10" i="24"/>
  <c r="E14" i="24"/>
  <c r="E20" i="24" l="1"/>
  <c r="F9" i="28" l="1"/>
  <c r="E10" i="28" l="1"/>
  <c r="F10" i="28" s="1"/>
  <c r="E11" i="28" l="1"/>
  <c r="F11" i="28" s="1"/>
  <c r="E12" i="28" l="1"/>
  <c r="F12" i="28"/>
  <c r="E13" i="28"/>
  <c r="E14" i="28" l="1"/>
  <c r="F13" i="28"/>
  <c r="F14" i="28" l="1"/>
  <c r="E15" i="28"/>
  <c r="E16" i="28" l="1"/>
  <c r="F15" i="28"/>
  <c r="F16" i="28" l="1"/>
  <c r="E17" i="28"/>
  <c r="F17" i="28" l="1"/>
  <c r="E18" i="28"/>
  <c r="E19" i="28" l="1"/>
  <c r="F18" i="28"/>
  <c r="E20" i="28" l="1"/>
  <c r="F19" i="28"/>
  <c r="E21" i="28" l="1"/>
  <c r="F20" i="28"/>
  <c r="E22" i="28" l="1"/>
  <c r="F21" i="28"/>
  <c r="E23" i="28" l="1"/>
  <c r="F22" i="28"/>
  <c r="E24" i="28" l="1"/>
  <c r="F23" i="28"/>
  <c r="E25" i="28" l="1"/>
  <c r="F24" i="28"/>
  <c r="E26" i="28" l="1"/>
  <c r="F25" i="28"/>
  <c r="E27" i="28" l="1"/>
  <c r="F26" i="28"/>
  <c r="E28" i="28" l="1"/>
  <c r="F27" i="28"/>
  <c r="E29" i="28" l="1"/>
  <c r="F28" i="28"/>
  <c r="E30" i="28" l="1"/>
  <c r="F29" i="28"/>
  <c r="E31" i="28" l="1"/>
  <c r="F30" i="28"/>
  <c r="E32" i="28" l="1"/>
  <c r="F31" i="28"/>
  <c r="E33" i="28" l="1"/>
  <c r="F32" i="28"/>
  <c r="E34" i="28" l="1"/>
  <c r="F33" i="28"/>
  <c r="E35" i="28" l="1"/>
  <c r="F34" i="28"/>
  <c r="E36" i="28" l="1"/>
  <c r="F35" i="28"/>
  <c r="E37" i="28" l="1"/>
  <c r="F36" i="28"/>
  <c r="E38" i="28" l="1"/>
  <c r="F37" i="28"/>
  <c r="E39" i="28" l="1"/>
  <c r="F39" i="28" s="1"/>
  <c r="F38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valdinei jose da silva</author>
  </authors>
  <commentList>
    <comment ref="G2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valdinei jose da silva: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valdinei jose da silva: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<sst xmlns="http://schemas.openxmlformats.org/spreadsheetml/2006/main" count="4068" uniqueCount="1166">
  <si>
    <t>ORÇAMENTO SINTÉTICO</t>
  </si>
  <si>
    <t>ÓRGÃO CONTRATANTE:</t>
  </si>
  <si>
    <r>
      <t>TRIBUNAL REGIONAL FEDERAL DA 1</t>
    </r>
    <r>
      <rPr>
        <b/>
        <sz val="11"/>
        <color theme="1"/>
        <rFont val="Calibri"/>
        <family val="2"/>
      </rPr>
      <t>ª</t>
    </r>
    <r>
      <rPr>
        <b/>
        <sz val="9.35"/>
        <color theme="1"/>
        <rFont val="Calibri"/>
        <family val="2"/>
      </rPr>
      <t xml:space="preserve"> REGIÃO</t>
    </r>
  </si>
  <si>
    <t>OBJETO: Prestação de serviços de trabalhos técnico-profissional para elaboração dos projetos remanescentes da obra da nova sede do TRF da 1ª Região</t>
  </si>
  <si>
    <t>PRAZO DE EXECUÇÃO:</t>
  </si>
  <si>
    <r>
      <t>PRESTAÇÃO DE SERVIÇOS DE TRABALHOS TÉCNICO-PROFISSIONAL PARA ELABORAÇÃO DOS PROJETOS REMANESCENTES DA OBRA DA NOVA SEDE DO TRF DA 1</t>
    </r>
    <r>
      <rPr>
        <b/>
        <sz val="11"/>
        <color theme="1"/>
        <rFont val="Calibri"/>
        <family val="2"/>
      </rPr>
      <t>ª</t>
    </r>
    <r>
      <rPr>
        <b/>
        <sz val="12.65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REGIÃO</t>
    </r>
  </si>
  <si>
    <t>%</t>
  </si>
  <si>
    <t>R$</t>
  </si>
  <si>
    <t>ESTUDOS PRELIMINARES</t>
  </si>
  <si>
    <t>ANTEPROJETO</t>
  </si>
  <si>
    <t>PROJETO BÁSICO 30%</t>
  </si>
  <si>
    <t>PROJETO BÁSICO 70%</t>
  </si>
  <si>
    <t>PROJETO EXECUTIVO</t>
  </si>
  <si>
    <t>PROJETO LEGAL</t>
  </si>
  <si>
    <t>TOTAL</t>
  </si>
  <si>
    <t>PROJETO 100%</t>
  </si>
  <si>
    <t>ORÇAMENTO POR ESCOPO</t>
  </si>
  <si>
    <t>ÓRGÃO CONTRATANTE: TRIBUNAL REGIONAL FEDERAL DA 1ª REGIÃO</t>
  </si>
  <si>
    <t>DATA-BASE SINAPI NÃO DESONERADO MENSALISTA: 05/2021</t>
  </si>
  <si>
    <t>ITEM</t>
  </si>
  <si>
    <t>DESCRIÇÃO DOS PRODUTOS A SEREM ENTREGUES</t>
  </si>
  <si>
    <t>Percentual das horas</t>
  </si>
  <si>
    <t>Quantidade de hora x custo da hora</t>
  </si>
  <si>
    <t>Fator "K"</t>
  </si>
  <si>
    <t>Outros custos diretos</t>
  </si>
  <si>
    <t>Fator "TRDE"</t>
  </si>
  <si>
    <t>Preço</t>
  </si>
  <si>
    <t>Valor das Etapas</t>
  </si>
  <si>
    <t>1.0</t>
  </si>
  <si>
    <t xml:space="preserve">ESTUDOS PRELIMINARES </t>
  </si>
  <si>
    <t>1.1</t>
  </si>
  <si>
    <t>Orçamento estimativo da obra</t>
  </si>
  <si>
    <t>1.2</t>
  </si>
  <si>
    <t>Cronograma físico-financeiro estimativo da obra</t>
  </si>
  <si>
    <t>1.3</t>
  </si>
  <si>
    <t>Orçamento estimativo da obra - estrutura bloco C</t>
  </si>
  <si>
    <t>1.4</t>
  </si>
  <si>
    <t xml:space="preserve">Cronograma físico-financeiro estimativo da obra - estrutura bloco C </t>
  </si>
  <si>
    <t>1.5</t>
  </si>
  <si>
    <t>Levantamento topográfico-ajustes e atualização no projeto existente</t>
  </si>
  <si>
    <t>1.6</t>
  </si>
  <si>
    <t>Relatório de Avaliação dos Projetos Existentes Bloco C</t>
  </si>
  <si>
    <t>1.7</t>
  </si>
  <si>
    <t>Estudos de jazidas de importação e exportação</t>
  </si>
  <si>
    <t>1.8</t>
  </si>
  <si>
    <t>Pesquisa nas concessionárias públicas (energia, esgoto, bombeiros, GDF e outros)</t>
  </si>
  <si>
    <t>1.9</t>
  </si>
  <si>
    <t>Pesquisa em órgãos ambientais para licenças e PGRCC e PGRS</t>
  </si>
  <si>
    <t>1.10</t>
  </si>
  <si>
    <t>Levantamento e medição  dos pontos de aterramento existentes</t>
  </si>
  <si>
    <t>1.11</t>
  </si>
  <si>
    <t xml:space="preserve">Relatório de viabilidade técnica e econômica de utilização de materiais </t>
  </si>
  <si>
    <t>1.12</t>
  </si>
  <si>
    <t>Relatório de viabilidade técnica e econômica de utilização de equipamentos</t>
  </si>
  <si>
    <t>1.13</t>
  </si>
  <si>
    <t>Relatório de viabilidade técnica e econômica de utilização de sistemas</t>
  </si>
  <si>
    <t>1.14</t>
  </si>
  <si>
    <t>Relatório de Avaliação dos Projetos Existentes Geral - Planejamento e Levantamento de necessidades</t>
  </si>
  <si>
    <t>1.15</t>
  </si>
  <si>
    <t>Planejamento e Levantamento de Necessidades</t>
  </si>
  <si>
    <t>1.16</t>
  </si>
  <si>
    <r>
      <t>Laudo técnico dos elementos estruturais do bloco C ( tubulões, blocos, lajes, vigas e pilares P</t>
    </r>
    <r>
      <rPr>
        <vertAlign val="subscript"/>
        <sz val="12"/>
        <color theme="1"/>
        <rFont val="Calibri"/>
        <family val="2"/>
        <scheme val="minor"/>
      </rPr>
      <t>A1</t>
    </r>
    <r>
      <rPr>
        <sz val="12"/>
        <color theme="1"/>
        <rFont val="Calibri"/>
        <family val="2"/>
        <scheme val="minor"/>
      </rPr>
      <t>, P</t>
    </r>
    <r>
      <rPr>
        <vertAlign val="subscript"/>
        <sz val="12"/>
        <color theme="1"/>
        <rFont val="Calibri"/>
        <family val="2"/>
        <scheme val="minor"/>
      </rPr>
      <t>A2</t>
    </r>
    <r>
      <rPr>
        <sz val="12"/>
        <color theme="1"/>
        <rFont val="Calibri"/>
        <family val="2"/>
        <scheme val="minor"/>
      </rPr>
      <t>, P</t>
    </r>
    <r>
      <rPr>
        <vertAlign val="subscript"/>
        <sz val="12"/>
        <color theme="1"/>
        <rFont val="Calibri"/>
        <family val="2"/>
        <scheme val="minor"/>
      </rPr>
      <t>A6</t>
    </r>
    <r>
      <rPr>
        <sz val="12"/>
        <color theme="1"/>
        <rFont val="Calibri"/>
        <family val="2"/>
        <scheme val="minor"/>
      </rPr>
      <t xml:space="preserve"> e P</t>
    </r>
    <r>
      <rPr>
        <vertAlign val="subscript"/>
        <sz val="12"/>
        <color theme="1"/>
        <rFont val="Calibri"/>
        <family val="2"/>
        <scheme val="minor"/>
      </rPr>
      <t>A7</t>
    </r>
    <r>
      <rPr>
        <sz val="12"/>
        <color theme="1"/>
        <rFont val="Calibri"/>
        <family val="2"/>
        <scheme val="minor"/>
      </rPr>
      <t xml:space="preserve"> ) </t>
    </r>
  </si>
  <si>
    <t>1.17</t>
  </si>
  <si>
    <t xml:space="preserve">Laudo Pericial com solução da laje da praça em concreto e viga V60 </t>
  </si>
  <si>
    <t>1.18</t>
  </si>
  <si>
    <t>Outros Custos Diretos - Impressões e ART/RRT</t>
  </si>
  <si>
    <t>Total da Etapa -  Estudos Preliminares</t>
  </si>
  <si>
    <t>2.0</t>
  </si>
  <si>
    <t>2.1</t>
  </si>
  <si>
    <t>ANTEPROJETO - Geral</t>
  </si>
  <si>
    <t>2.1.1</t>
  </si>
  <si>
    <t>Orçamento estimativo da obra - geral</t>
  </si>
  <si>
    <t>2.1.2</t>
  </si>
  <si>
    <t>Cronograma físico-financeiro estimativo da obra-geral</t>
  </si>
  <si>
    <t>2.1.3</t>
  </si>
  <si>
    <t>Plano de Gerenciamento de Resíduos da Construção Civil (PGRCC) - Bloco C</t>
  </si>
  <si>
    <t>2.1.4</t>
  </si>
  <si>
    <t>Orçamento da obra - estrutura bloco C (Executivo)</t>
  </si>
  <si>
    <t>2.1.5</t>
  </si>
  <si>
    <t>Cronograma físico-financeiro, Estrutura Analítica de Projeto (EAP) e Planejamento da Obra (MS-Project) da obra-estrutura bloco C (executivo)</t>
  </si>
  <si>
    <t>2.1.6</t>
  </si>
  <si>
    <t xml:space="preserve"> Composição de Custo Unitários (CCU) Cotação de preços paradigmas (SINAPI, SICRO, mercado e outros)-estrutura bloco C (Executivo)</t>
  </si>
  <si>
    <t>2.1.7</t>
  </si>
  <si>
    <t>Composição do BDI-estrutura bloco C (Executivo)</t>
  </si>
  <si>
    <t>2.1.8</t>
  </si>
  <si>
    <t>Composição dos encargos sociais-estrutura bloco C (Executivo)</t>
  </si>
  <si>
    <t>2.1.9</t>
  </si>
  <si>
    <t>Curva ABC de Serviços- bloco C (Executivo)</t>
  </si>
  <si>
    <t>2.1.10</t>
  </si>
  <si>
    <t>Curva ABC de materiais-bloco C (Executivo)</t>
  </si>
  <si>
    <t>2.1.11</t>
  </si>
  <si>
    <t>Plano de Obras e Contratações (licitações autônomas)-bloco C (Executivo)</t>
  </si>
  <si>
    <t>2.1.12</t>
  </si>
  <si>
    <t>Outros Custos Diretos - Impressões</t>
  </si>
  <si>
    <t>2.2</t>
  </si>
  <si>
    <t>ANTEPROJETO - Disciplinas</t>
  </si>
  <si>
    <t>2.2.1</t>
  </si>
  <si>
    <t>Arquitetura</t>
  </si>
  <si>
    <t>2.2.1.1</t>
  </si>
  <si>
    <t>Especificação Técnica/memorial descritivo e Justificativo</t>
  </si>
  <si>
    <t>2.2.1.2</t>
  </si>
  <si>
    <t xml:space="preserve">Mapa de Equipamentos </t>
  </si>
  <si>
    <t>2.2.1.3</t>
  </si>
  <si>
    <t>Acessibilidade</t>
  </si>
  <si>
    <t>2.2.1.4</t>
  </si>
  <si>
    <t xml:space="preserve">Projetos em BIM - 3D </t>
  </si>
  <si>
    <t>2.2.2</t>
  </si>
  <si>
    <t>Canteiro de obras</t>
  </si>
  <si>
    <t>2.2.2.1</t>
  </si>
  <si>
    <t>2.2.2.2</t>
  </si>
  <si>
    <t>Planilha de quantitativos  - Memorial de Cálculo de Quantitativos (bloco C)</t>
  </si>
  <si>
    <t>2.2.2.3</t>
  </si>
  <si>
    <t xml:space="preserve">Memorial de Cálculo </t>
  </si>
  <si>
    <t>2.2.2.4</t>
  </si>
  <si>
    <t>Projetos em BIM - 3D (bloco C)</t>
  </si>
  <si>
    <t>2.2.2.5</t>
  </si>
  <si>
    <t>Projetos em BIM - 2D (seções do modelo) Geral</t>
  </si>
  <si>
    <t>2.2.3</t>
  </si>
  <si>
    <t>Acústica</t>
  </si>
  <si>
    <t>2.2.3.1</t>
  </si>
  <si>
    <t>2.2.3.2</t>
  </si>
  <si>
    <t>2.2.4</t>
  </si>
  <si>
    <t>Comunicação Visual</t>
  </si>
  <si>
    <t>2.2.4.1</t>
  </si>
  <si>
    <t>2.2.4.2</t>
  </si>
  <si>
    <t>2.2.5</t>
  </si>
  <si>
    <t>Paisagismo e Urbanismo</t>
  </si>
  <si>
    <t>2.2.5.1</t>
  </si>
  <si>
    <t>2.2.5.2</t>
  </si>
  <si>
    <t>2.2.6</t>
  </si>
  <si>
    <t>Reforço das Estruturas de Concreto (Protendido e Armado) do bloco C e Estruturas Complementares bloco C</t>
  </si>
  <si>
    <t>Anteprojeto, Projeto Básico e Executivo</t>
  </si>
  <si>
    <t>2.2.6.1</t>
  </si>
  <si>
    <t>Especificação Técnica/memorial descritivo/caderno de encargos</t>
  </si>
  <si>
    <t>2.2.6.2</t>
  </si>
  <si>
    <t>Planilha de quantitativos  - Memorial de Cálculo de Quantitativos</t>
  </si>
  <si>
    <t>2.2.6.3</t>
  </si>
  <si>
    <t>Memorial de Cálculo estrutural</t>
  </si>
  <si>
    <t>2.2.6.4</t>
  </si>
  <si>
    <t>Relatório Técnico de ajuste</t>
  </si>
  <si>
    <t>2.2.6.5</t>
  </si>
  <si>
    <t>2.2.6.6</t>
  </si>
  <si>
    <t>Projetos em BIM - 2D (seções do modelo)</t>
  </si>
  <si>
    <t>2.2.6.7</t>
  </si>
  <si>
    <t>Formas</t>
  </si>
  <si>
    <t>2.2.6.8</t>
  </si>
  <si>
    <t>Cimbramento Metálico</t>
  </si>
  <si>
    <t>2.2.6.9</t>
  </si>
  <si>
    <t>Projetos em DWG e PDF</t>
  </si>
  <si>
    <t>2.2.6.10</t>
  </si>
  <si>
    <t>Detalhamento</t>
  </si>
  <si>
    <t>2.2.6.11</t>
  </si>
  <si>
    <t>Diagrama</t>
  </si>
  <si>
    <t>2.2.7</t>
  </si>
  <si>
    <t>Estruturas de Concreto (Protendido e Armado) Complementares Bloco A, Bloco B, Bloco D, Passarelas, Térreo e Subsolos 1, 2 e 3</t>
  </si>
  <si>
    <t>2.2.7.1</t>
  </si>
  <si>
    <t>2.2.7.2</t>
  </si>
  <si>
    <t>2.2.7.3</t>
  </si>
  <si>
    <t>2.2.8</t>
  </si>
  <si>
    <t>Estruturas Metálicas</t>
  </si>
  <si>
    <t>2.2.8.1</t>
  </si>
  <si>
    <t>2.2.8.2</t>
  </si>
  <si>
    <t>2.2.8.3</t>
  </si>
  <si>
    <t>2.2.9</t>
  </si>
  <si>
    <t>Instalação de Energia Elétrica</t>
  </si>
  <si>
    <t>2.2.9.1</t>
  </si>
  <si>
    <t>2.2.9.2</t>
  </si>
  <si>
    <t>Diagramas dos sistemas de suprimento de energia, comum e essencial</t>
  </si>
  <si>
    <t>2.2.9.3</t>
  </si>
  <si>
    <t>Diagrama Unifilar dos quadros e equipamentos principais, cargas estimativas</t>
  </si>
  <si>
    <t>2.2.9.4</t>
  </si>
  <si>
    <t>Relatório de Atualização Tecnológica e Normativa</t>
  </si>
  <si>
    <t>2.2.9.5</t>
  </si>
  <si>
    <t xml:space="preserve">Projetos em BIM - 3D  </t>
  </si>
  <si>
    <t>2.2.9.6</t>
  </si>
  <si>
    <t>2.2.10</t>
  </si>
  <si>
    <t>Luminotécnica</t>
  </si>
  <si>
    <t>2.2.10.1</t>
  </si>
  <si>
    <t>2.2.10.2</t>
  </si>
  <si>
    <t>2.2.10.3</t>
  </si>
  <si>
    <t>2.2.11</t>
  </si>
  <si>
    <t>Multimídia, Sonorização, Áudio, Vídeo, Sistemas de Antenas e Relógios Sincronizados</t>
  </si>
  <si>
    <t>2.2.11.1</t>
  </si>
  <si>
    <t>2.2.11.2</t>
  </si>
  <si>
    <t>2.2.11.3</t>
  </si>
  <si>
    <t>2.2.11.4</t>
  </si>
  <si>
    <t>2.2.12</t>
  </si>
  <si>
    <t>Comunicação de Dados e Voz</t>
  </si>
  <si>
    <t>2.2.12.1</t>
  </si>
  <si>
    <t>2.2.12.2</t>
  </si>
  <si>
    <t>2.2.12.3</t>
  </si>
  <si>
    <t>2.2.12.4</t>
  </si>
  <si>
    <t>2.2.13</t>
  </si>
  <si>
    <t>Automação Predial (Supervisão, Comando e Controle de Edificações)</t>
  </si>
  <si>
    <t>2.2.13.1</t>
  </si>
  <si>
    <t>2.2.13.2</t>
  </si>
  <si>
    <t>2.2.13.3</t>
  </si>
  <si>
    <t>2.2.14</t>
  </si>
  <si>
    <t>Segurança Patrimonial e CFTV</t>
  </si>
  <si>
    <t>2.2.14.1</t>
  </si>
  <si>
    <t>2.2.14.2</t>
  </si>
  <si>
    <t>2.2.14.3</t>
  </si>
  <si>
    <t>2.2.15</t>
  </si>
  <si>
    <t>Sistema de Proteção Contra Descargas Atmosféricas</t>
  </si>
  <si>
    <t>2.2.15.1</t>
  </si>
  <si>
    <t>2.2.15.2</t>
  </si>
  <si>
    <t>2.2.15.3</t>
  </si>
  <si>
    <t>2.2.16</t>
  </si>
  <si>
    <t>Sistema Fotovoltaico (Geração de Energia Solar)</t>
  </si>
  <si>
    <t>2.2.16.1</t>
  </si>
  <si>
    <t>2.2.16.2</t>
  </si>
  <si>
    <t>2.2.16.3</t>
  </si>
  <si>
    <t>2.2.16.4</t>
  </si>
  <si>
    <t>Memorial de Cálculo</t>
  </si>
  <si>
    <t>2.2.16.5</t>
  </si>
  <si>
    <t>2.2.17</t>
  </si>
  <si>
    <t>Detecção e Alarme de Incêndio</t>
  </si>
  <si>
    <t>2.2.17.1</t>
  </si>
  <si>
    <t>2.2.17.2</t>
  </si>
  <si>
    <t>2.2.17.3</t>
  </si>
  <si>
    <t>2.2.17.4</t>
  </si>
  <si>
    <t>2.2.18</t>
  </si>
  <si>
    <t>Prevenção e Combate a Incêndio</t>
  </si>
  <si>
    <t>2.2.18.1</t>
  </si>
  <si>
    <t>2.2.18.2</t>
  </si>
  <si>
    <t>2.2.18.3</t>
  </si>
  <si>
    <t>2.2.18.4</t>
  </si>
  <si>
    <t>2.2.18.5</t>
  </si>
  <si>
    <t>2.2.18.6</t>
  </si>
  <si>
    <t>Rota de Fuga</t>
  </si>
  <si>
    <t>2.2.19</t>
  </si>
  <si>
    <t>Instalação Água Potável</t>
  </si>
  <si>
    <t>2.2.19.1</t>
  </si>
  <si>
    <t>2.2.19.2</t>
  </si>
  <si>
    <t>2.2.19.3</t>
  </si>
  <si>
    <t>2.2.19.4</t>
  </si>
  <si>
    <t>2.2.19.5</t>
  </si>
  <si>
    <t>2.2.20</t>
  </si>
  <si>
    <t>Instalação Esgoto Sanitário</t>
  </si>
  <si>
    <t>2.2.20.1</t>
  </si>
  <si>
    <t>2.2.20.2</t>
  </si>
  <si>
    <t>2.2.20.3</t>
  </si>
  <si>
    <t>2.2.21</t>
  </si>
  <si>
    <t>Irrigação e Sistema de Reuso de Água</t>
  </si>
  <si>
    <t>2.2.21.1</t>
  </si>
  <si>
    <t>2.2.21.2</t>
  </si>
  <si>
    <t>2.2.21.3</t>
  </si>
  <si>
    <t>2.2.22</t>
  </si>
  <si>
    <t>Drenagem de Águas Pluviais (Edificações e terreno)</t>
  </si>
  <si>
    <t>2.2.22.1</t>
  </si>
  <si>
    <t>2.2.22.2</t>
  </si>
  <si>
    <t>2.2.22.3</t>
  </si>
  <si>
    <t>2.2.23</t>
  </si>
  <si>
    <t>Elevadores</t>
  </si>
  <si>
    <t>2.2.23.1</t>
  </si>
  <si>
    <t>2.2.23.2</t>
  </si>
  <si>
    <t>2.2.23.3</t>
  </si>
  <si>
    <t>2.2.23.4</t>
  </si>
  <si>
    <t>2.2.24</t>
  </si>
  <si>
    <t>Instalações Ar Condicionado e Ventilação Mecânica</t>
  </si>
  <si>
    <t>2.2.24.1</t>
  </si>
  <si>
    <t>2.2.24.2</t>
  </si>
  <si>
    <t>2.2.24.3</t>
  </si>
  <si>
    <t>2.2.24.4</t>
  </si>
  <si>
    <t>2.2.24.5</t>
  </si>
  <si>
    <t>2.2.25</t>
  </si>
  <si>
    <t>Ventilação Mecânica de escadas, subsolos e áreas protegidas</t>
  </si>
  <si>
    <t>2.2.25.1</t>
  </si>
  <si>
    <t>2.2.25.2</t>
  </si>
  <si>
    <t>2.2.25.3</t>
  </si>
  <si>
    <t>2.2.25.4</t>
  </si>
  <si>
    <t>2.2.26</t>
  </si>
  <si>
    <t>Sistemas de Ancoragem e Linha de vida</t>
  </si>
  <si>
    <t>2.2.26.1</t>
  </si>
  <si>
    <t>2.2.26.2</t>
  </si>
  <si>
    <t>2.2.26.3</t>
  </si>
  <si>
    <t>2.2.27</t>
  </si>
  <si>
    <t>Gás Combustível, Gases medicinais e de vácuo - GMVG</t>
  </si>
  <si>
    <t>2.2.27.1</t>
  </si>
  <si>
    <t>2.2.27.2</t>
  </si>
  <si>
    <t>2.2.27.3</t>
  </si>
  <si>
    <t>2.2.27.4</t>
  </si>
  <si>
    <t>2.2.28</t>
  </si>
  <si>
    <t>Impermeabilização</t>
  </si>
  <si>
    <t>2.2.28.1</t>
  </si>
  <si>
    <t>2.2.28.2</t>
  </si>
  <si>
    <t>2.2.29</t>
  </si>
  <si>
    <t>Pavimentação</t>
  </si>
  <si>
    <t>2.2.29.1</t>
  </si>
  <si>
    <t>2.2.29.2</t>
  </si>
  <si>
    <t>2.2.30</t>
  </si>
  <si>
    <t>Coordenação (compatibilização de projetos)</t>
  </si>
  <si>
    <t>2.2.30.1</t>
  </si>
  <si>
    <t>Compatibilização de Projetos e Relatório Técnico de Controle do Projeto e Ajustes</t>
  </si>
  <si>
    <t>Total da Etapa -  Anteprojetos</t>
  </si>
  <si>
    <t>3.0</t>
  </si>
  <si>
    <t>PROJETO BÁSICO</t>
  </si>
  <si>
    <t>3.1</t>
  </si>
  <si>
    <t>PROJETO BÁSICO - Geral</t>
  </si>
  <si>
    <t>3.1.1</t>
  </si>
  <si>
    <t xml:space="preserve"> Composição de Custo Unitários (CCU) Cotação de preços paradigmas (SINAPI, SICRO, mercado e outros)</t>
  </si>
  <si>
    <t>3.1.2</t>
  </si>
  <si>
    <t>Orçamento sintético da obra</t>
  </si>
  <si>
    <t>3.1.3</t>
  </si>
  <si>
    <t>Composição de BDI</t>
  </si>
  <si>
    <t>3.1.4</t>
  </si>
  <si>
    <t>Composição de Encargos Sociais</t>
  </si>
  <si>
    <t>3.1.5</t>
  </si>
  <si>
    <t>Curva ABC de Serviços</t>
  </si>
  <si>
    <t>3.1.6</t>
  </si>
  <si>
    <t>Curva ABC de materiais</t>
  </si>
  <si>
    <t>3.1.7</t>
  </si>
  <si>
    <t>Cronograma físico-financeiro estimativo, Estrutura Analítica de Projeto (EAP) e Planejamento da Obra (MS-Project)</t>
  </si>
  <si>
    <t>3.1.8</t>
  </si>
  <si>
    <t>Plano de Gerenciamento de Resíduos Sólidos (PGRS)</t>
  </si>
  <si>
    <t>3.1.9</t>
  </si>
  <si>
    <t>Relatório de Impacto de Trânsito aprovado no GDF</t>
  </si>
  <si>
    <t>3.1.10</t>
  </si>
  <si>
    <t>Projeto de Entrada de Energia Elétrica aprovado pela CEB</t>
  </si>
  <si>
    <t>3.1.11</t>
  </si>
  <si>
    <t>Plano de Obras e Contratações (licitações autônomas)</t>
  </si>
  <si>
    <t>3.1.12</t>
  </si>
  <si>
    <t>3.2</t>
  </si>
  <si>
    <t>PROJETO BÁSICO - Disciplinas</t>
  </si>
  <si>
    <t>3.2.1</t>
  </si>
  <si>
    <t>3.2.1.1</t>
  </si>
  <si>
    <t>Especificação Técnica/caderno de encargos/memorial descritivo e Justificativo</t>
  </si>
  <si>
    <t>3.2.1.2</t>
  </si>
  <si>
    <t>3.2.1.3</t>
  </si>
  <si>
    <t>3.2.1.4</t>
  </si>
  <si>
    <t>3.2.1.5</t>
  </si>
  <si>
    <t>3.2.1.6</t>
  </si>
  <si>
    <t>3.2.2</t>
  </si>
  <si>
    <t>3.2.2.1</t>
  </si>
  <si>
    <t>3.2.2.2</t>
  </si>
  <si>
    <t>3.2.2.3</t>
  </si>
  <si>
    <t>3.2.2.4</t>
  </si>
  <si>
    <t>3.2.2.5</t>
  </si>
  <si>
    <t>3.2.2.6</t>
  </si>
  <si>
    <t>3.2.3</t>
  </si>
  <si>
    <t>3.2.3.1</t>
  </si>
  <si>
    <t>3.2.3.2</t>
  </si>
  <si>
    <t>3.2.3.3</t>
  </si>
  <si>
    <t>3.2.3.4</t>
  </si>
  <si>
    <t>3.2.3.5</t>
  </si>
  <si>
    <t>3.2.3.6</t>
  </si>
  <si>
    <t>3.2.3.7</t>
  </si>
  <si>
    <t>3.2.4</t>
  </si>
  <si>
    <t>3.2.4.1</t>
  </si>
  <si>
    <t>3.2.4.2</t>
  </si>
  <si>
    <t>3.2.4.3</t>
  </si>
  <si>
    <t>3.2.4.4</t>
  </si>
  <si>
    <t>3.2.4.5</t>
  </si>
  <si>
    <t>3.2.5</t>
  </si>
  <si>
    <t>Mobiliário</t>
  </si>
  <si>
    <t>3.2.5.1</t>
  </si>
  <si>
    <t>3.2.5.2</t>
  </si>
  <si>
    <t>3.2.5.3</t>
  </si>
  <si>
    <t>3.2.5.4</t>
  </si>
  <si>
    <t>3.2.5.5</t>
  </si>
  <si>
    <t>3.2.6</t>
  </si>
  <si>
    <t>3.2.6.1</t>
  </si>
  <si>
    <t>3.2.6.2</t>
  </si>
  <si>
    <t>3.2.6.3</t>
  </si>
  <si>
    <t>3.2.6.4</t>
  </si>
  <si>
    <t>3.2.6.5</t>
  </si>
  <si>
    <t>3.2.7</t>
  </si>
  <si>
    <t>Terraplanagem</t>
  </si>
  <si>
    <t>3.2.7.1</t>
  </si>
  <si>
    <t>3.2.7.2</t>
  </si>
  <si>
    <t>3.2.7.3</t>
  </si>
  <si>
    <t>3.2.7.4</t>
  </si>
  <si>
    <t>3.2.7.5</t>
  </si>
  <si>
    <t>3.2.7.6</t>
  </si>
  <si>
    <t>3.2.7.7</t>
  </si>
  <si>
    <t>3.2.8</t>
  </si>
  <si>
    <t>Estruturas de Concreto (Protendido e Armado)</t>
  </si>
  <si>
    <t>3.2.8.1</t>
  </si>
  <si>
    <t>Estruturas de Concreto Bloco B</t>
  </si>
  <si>
    <t>3.2.8.1.1</t>
  </si>
  <si>
    <t>3.2.8.1.2</t>
  </si>
  <si>
    <t>3.2.8.1.3</t>
  </si>
  <si>
    <t>3.2.8.1.4</t>
  </si>
  <si>
    <t>3.2.8.1.5</t>
  </si>
  <si>
    <t>3.2.8.1.6</t>
  </si>
  <si>
    <t>3.2.8.1.7</t>
  </si>
  <si>
    <t>Formas (Detalhes)</t>
  </si>
  <si>
    <t>3.2.8.1.8</t>
  </si>
  <si>
    <t>Cimbramento Metálico (Detalhes)</t>
  </si>
  <si>
    <t>3.2.8.1.9</t>
  </si>
  <si>
    <t>3.2.8.2</t>
  </si>
  <si>
    <t>Estruturas de Concreto Complementares (Protendido e Armado) Bloco A, Bloco D, Passarelas, Térreo e Subsolos 1, 2 e 3</t>
  </si>
  <si>
    <t>3.2.8.2.1</t>
  </si>
  <si>
    <t>3.2.8.2.2</t>
  </si>
  <si>
    <t>3.2.8.2.3</t>
  </si>
  <si>
    <t>3.2.8.2.4</t>
  </si>
  <si>
    <t>3.2.8.2.5</t>
  </si>
  <si>
    <t>3.2.8.2.6</t>
  </si>
  <si>
    <t>3.2.8.2.7</t>
  </si>
  <si>
    <t>Formas  (Detalhes)</t>
  </si>
  <si>
    <t>3.2.8.2.8</t>
  </si>
  <si>
    <t>3.2.8.2.9</t>
  </si>
  <si>
    <t>3.2.8.2.10</t>
  </si>
  <si>
    <t>3.2.9</t>
  </si>
  <si>
    <t>3.2.9.1</t>
  </si>
  <si>
    <t>3.2.9.2</t>
  </si>
  <si>
    <t>3.2.9.3</t>
  </si>
  <si>
    <t>3.2.9.4</t>
  </si>
  <si>
    <t>3.2.9.5</t>
  </si>
  <si>
    <t>3.2.9.6</t>
  </si>
  <si>
    <t>3.2.10</t>
  </si>
  <si>
    <t>3.2.10.1</t>
  </si>
  <si>
    <t>3.2.10.2</t>
  </si>
  <si>
    <t>3.2.10.3</t>
  </si>
  <si>
    <t>3.2.10.4</t>
  </si>
  <si>
    <t>3.2.10.5</t>
  </si>
  <si>
    <t>3.2.10.6</t>
  </si>
  <si>
    <t>3.2.10.7</t>
  </si>
  <si>
    <t>3.2.11</t>
  </si>
  <si>
    <t>3.2.11.1</t>
  </si>
  <si>
    <t>3.2.11.2</t>
  </si>
  <si>
    <t>3.2.11.3</t>
  </si>
  <si>
    <t>3.2.11.4</t>
  </si>
  <si>
    <t>3.2.11.5</t>
  </si>
  <si>
    <t>3.2.11.6</t>
  </si>
  <si>
    <t>3.2.12</t>
  </si>
  <si>
    <t>3.2.12.1</t>
  </si>
  <si>
    <t>3.2.12.2</t>
  </si>
  <si>
    <t>3.2.12.3</t>
  </si>
  <si>
    <t>3.2.12.4</t>
  </si>
  <si>
    <t>3.2.12.5</t>
  </si>
  <si>
    <t>3.2.12.6</t>
  </si>
  <si>
    <t>3.2.13</t>
  </si>
  <si>
    <t>3.2.13.1</t>
  </si>
  <si>
    <t>3.2.13.2</t>
  </si>
  <si>
    <t>3.2.13.3</t>
  </si>
  <si>
    <t>3.2.13.4</t>
  </si>
  <si>
    <t>3.2.13.5</t>
  </si>
  <si>
    <t>3.2.13.6</t>
  </si>
  <si>
    <t>3.2.14</t>
  </si>
  <si>
    <t>3.2.14.1</t>
  </si>
  <si>
    <t>3.2.14.2</t>
  </si>
  <si>
    <t>3.2.14.3</t>
  </si>
  <si>
    <t>3.2.14.4</t>
  </si>
  <si>
    <t>3.2.14.5</t>
  </si>
  <si>
    <t>3.2.14.6</t>
  </si>
  <si>
    <t>3.2.14.7</t>
  </si>
  <si>
    <t>3.2.15</t>
  </si>
  <si>
    <t>3.2.15.1</t>
  </si>
  <si>
    <t>3.2.15.2</t>
  </si>
  <si>
    <t>3.2.15.3</t>
  </si>
  <si>
    <t>3.2.15.4</t>
  </si>
  <si>
    <t>3.2.15.5</t>
  </si>
  <si>
    <t>3.2.15.6</t>
  </si>
  <si>
    <t>3.2.15.7</t>
  </si>
  <si>
    <t>3.2.16</t>
  </si>
  <si>
    <t>3.2.16.1</t>
  </si>
  <si>
    <t>3.2.16.2</t>
  </si>
  <si>
    <t>3.2.16.3</t>
  </si>
  <si>
    <t>3.2.16.4</t>
  </si>
  <si>
    <t>3.2.16.5</t>
  </si>
  <si>
    <t>3.2.16.6</t>
  </si>
  <si>
    <t>3.2.16.7</t>
  </si>
  <si>
    <t>3.2.17</t>
  </si>
  <si>
    <t>3.2.17.1</t>
  </si>
  <si>
    <t>3.2.17.2</t>
  </si>
  <si>
    <t>3.2.17.3</t>
  </si>
  <si>
    <t>3.2.17.4</t>
  </si>
  <si>
    <t>3.2.17.5</t>
  </si>
  <si>
    <t>3.2.17.6</t>
  </si>
  <si>
    <t>3.2.17.7</t>
  </si>
  <si>
    <t>3.2.18</t>
  </si>
  <si>
    <t>3.2.18.1</t>
  </si>
  <si>
    <t>3.2.18.2</t>
  </si>
  <si>
    <t>3.2.18.3</t>
  </si>
  <si>
    <t>3.2.18.4</t>
  </si>
  <si>
    <t>3.2.18.5</t>
  </si>
  <si>
    <t>3.2.18.6</t>
  </si>
  <si>
    <t>3.2.19</t>
  </si>
  <si>
    <t>3.2.19.1</t>
  </si>
  <si>
    <t>3.2.19.2</t>
  </si>
  <si>
    <t>Planilha de quantitativos Planilha de quantitativos  - Memorial de Cálculo de Quantitativos</t>
  </si>
  <si>
    <t>3.2.19.3</t>
  </si>
  <si>
    <t>3.2.19.4</t>
  </si>
  <si>
    <t>3.2.19.5</t>
  </si>
  <si>
    <t>3.2.19.6</t>
  </si>
  <si>
    <t>3.2.19.7</t>
  </si>
  <si>
    <t>3.2.20</t>
  </si>
  <si>
    <t>3.2.20.1</t>
  </si>
  <si>
    <t>3.2.20.2</t>
  </si>
  <si>
    <t>3.2.20.3</t>
  </si>
  <si>
    <t>3.2.20.4</t>
  </si>
  <si>
    <t>3.2.20.5</t>
  </si>
  <si>
    <t>3.2.20.6</t>
  </si>
  <si>
    <t>3.2.20.7</t>
  </si>
  <si>
    <t>3.2.21</t>
  </si>
  <si>
    <t>3.2.21.1</t>
  </si>
  <si>
    <t>3.2.21.2</t>
  </si>
  <si>
    <t>3.2.21.3</t>
  </si>
  <si>
    <t>3.2.21.4</t>
  </si>
  <si>
    <t>3.2.21.5</t>
  </si>
  <si>
    <t>3.2.21.6</t>
  </si>
  <si>
    <t>3.2.22</t>
  </si>
  <si>
    <t>3.2.22.1</t>
  </si>
  <si>
    <t>3.2.22.2</t>
  </si>
  <si>
    <t>3.2.22.3</t>
  </si>
  <si>
    <t>3.2.22.4</t>
  </si>
  <si>
    <t>3.2.22.5</t>
  </si>
  <si>
    <t>3.2.22.6</t>
  </si>
  <si>
    <t>3.2.23</t>
  </si>
  <si>
    <t>3.2.23.1</t>
  </si>
  <si>
    <t>3.2.23.2</t>
  </si>
  <si>
    <t>3.2.23.3</t>
  </si>
  <si>
    <t>3.2.23.4</t>
  </si>
  <si>
    <t>3.2.23.5</t>
  </si>
  <si>
    <t>3.2.23.6</t>
  </si>
  <si>
    <t>3.2.24</t>
  </si>
  <si>
    <t>3.2.24.1</t>
  </si>
  <si>
    <t>3.2.24.2</t>
  </si>
  <si>
    <t>3.2.24.3</t>
  </si>
  <si>
    <t>3.2.24.4</t>
  </si>
  <si>
    <t>3.2.24.5</t>
  </si>
  <si>
    <t>3.2.24.6</t>
  </si>
  <si>
    <t>3.2.24.7</t>
  </si>
  <si>
    <t>3.2.25</t>
  </si>
  <si>
    <t>3.2.25.1</t>
  </si>
  <si>
    <t>3.2.25.2</t>
  </si>
  <si>
    <t>3.2.25.3</t>
  </si>
  <si>
    <t>3.2.25.4</t>
  </si>
  <si>
    <t>3.2.25.5</t>
  </si>
  <si>
    <t>3.2.25.6</t>
  </si>
  <si>
    <t>3.2.25.7</t>
  </si>
  <si>
    <t>3.2.26</t>
  </si>
  <si>
    <t>3.2.26.1</t>
  </si>
  <si>
    <t>3.2.26.2</t>
  </si>
  <si>
    <t>3.2.26.3</t>
  </si>
  <si>
    <t>3.2.26.4</t>
  </si>
  <si>
    <t>3.2.26.5</t>
  </si>
  <si>
    <t>3.2.26.6</t>
  </si>
  <si>
    <t>3.2.26.7</t>
  </si>
  <si>
    <t>3.2.27</t>
  </si>
  <si>
    <t>3.2.27.1</t>
  </si>
  <si>
    <t>3.2.27.2</t>
  </si>
  <si>
    <t>3.2.27.3</t>
  </si>
  <si>
    <t>3.2.27.4</t>
  </si>
  <si>
    <t>3.2.27.5</t>
  </si>
  <si>
    <t>3.2.27.6</t>
  </si>
  <si>
    <t>3.2.28</t>
  </si>
  <si>
    <t>3.2.28.1</t>
  </si>
  <si>
    <t>3.2.28.2</t>
  </si>
  <si>
    <t>3.2.28.3</t>
  </si>
  <si>
    <t>3.2.28.4</t>
  </si>
  <si>
    <t>3.2.28.5</t>
  </si>
  <si>
    <t>3.2.28.6</t>
  </si>
  <si>
    <t>3.2.29</t>
  </si>
  <si>
    <t>3.2.29.1</t>
  </si>
  <si>
    <t>3.2.29.2</t>
  </si>
  <si>
    <t>3.2.29.3</t>
  </si>
  <si>
    <t>3.2.29.4</t>
  </si>
  <si>
    <t>3.2.29.5</t>
  </si>
  <si>
    <t>3.2.30</t>
  </si>
  <si>
    <t>3.2.30.1</t>
  </si>
  <si>
    <t>3.2.30.2</t>
  </si>
  <si>
    <t>3.2.30.3</t>
  </si>
  <si>
    <t>3.2.30.4</t>
  </si>
  <si>
    <t>3.2.30.5</t>
  </si>
  <si>
    <t>3.2.30.6</t>
  </si>
  <si>
    <t>3.2.31</t>
  </si>
  <si>
    <t>3.2.31.1</t>
  </si>
  <si>
    <t>Compatibilização de Projetos e Relatório Técnico de Controle do Projeto e Ajustes (30%)</t>
  </si>
  <si>
    <t>3.2.31.2</t>
  </si>
  <si>
    <t>Compatibilização de Projetos e Relatório Técnico de Controle do Projeto e Ajustes (70%)</t>
  </si>
  <si>
    <t>Total de Horas Projeto Básico</t>
  </si>
  <si>
    <t>4.0</t>
  </si>
  <si>
    <t>4.1</t>
  </si>
  <si>
    <t>PROJETO EXECUTIVO - Geral</t>
  </si>
  <si>
    <t>4.1.1</t>
  </si>
  <si>
    <t>4.1.2</t>
  </si>
  <si>
    <t>Composição de Custo Unitários (CCU), Cotação de preços paradigmas (SINAPI, SICRO, mercado e outros)</t>
  </si>
  <si>
    <t>4.1.3</t>
  </si>
  <si>
    <t>4.1.4</t>
  </si>
  <si>
    <t>4.1.5</t>
  </si>
  <si>
    <t>4.1.6</t>
  </si>
  <si>
    <t>4.1.7</t>
  </si>
  <si>
    <t>Cronograma físico-financeiro estimativo, Estrutura Analítica de Projeto (EAP) e Planejamento (MS-Project)  da obra</t>
  </si>
  <si>
    <t>4.1.8</t>
  </si>
  <si>
    <t>4.1.9</t>
  </si>
  <si>
    <t>4.2</t>
  </si>
  <si>
    <t>PROJETO EXECUTIVO - Disciplinas</t>
  </si>
  <si>
    <t>4.2.1</t>
  </si>
  <si>
    <t>4.2.1.1</t>
  </si>
  <si>
    <t>4.2.1.2</t>
  </si>
  <si>
    <t>4.2.1.3</t>
  </si>
  <si>
    <t>4.2.1.4</t>
  </si>
  <si>
    <t>4.2.1.5</t>
  </si>
  <si>
    <t>Projetos em BIM - 2D (seções do modelo) e DWG</t>
  </si>
  <si>
    <t>4.2.1.6</t>
  </si>
  <si>
    <t xml:space="preserve">Projetos em PDF </t>
  </si>
  <si>
    <t>4.2.1.7</t>
  </si>
  <si>
    <t>4.2.2</t>
  </si>
  <si>
    <t>4.2.2.1</t>
  </si>
  <si>
    <t>4.2.2.2</t>
  </si>
  <si>
    <t>4.2.2.3</t>
  </si>
  <si>
    <t>4.2.2.4</t>
  </si>
  <si>
    <t>4.2.2.5</t>
  </si>
  <si>
    <t>4.2.2.6</t>
  </si>
  <si>
    <t>4.2.2.7</t>
  </si>
  <si>
    <t>4.2.3</t>
  </si>
  <si>
    <t>4.2.3.1</t>
  </si>
  <si>
    <t>4.2.3.2</t>
  </si>
  <si>
    <t>4.2.3.3</t>
  </si>
  <si>
    <t>4.2.3.4</t>
  </si>
  <si>
    <t>4.2.3.5</t>
  </si>
  <si>
    <t>4.2.3.6</t>
  </si>
  <si>
    <t>4.2.4</t>
  </si>
  <si>
    <t>4.2.4.1</t>
  </si>
  <si>
    <t>4.2.4.2</t>
  </si>
  <si>
    <t>4.2.4.3</t>
  </si>
  <si>
    <t>4.2.4.4</t>
  </si>
  <si>
    <t>4.2.4.5</t>
  </si>
  <si>
    <t>4.2.4.6</t>
  </si>
  <si>
    <t>4.2.5</t>
  </si>
  <si>
    <t>4.2.5.1</t>
  </si>
  <si>
    <t>4.2.5.2</t>
  </si>
  <si>
    <t>4.2.5.3</t>
  </si>
  <si>
    <t>4.2.5.4</t>
  </si>
  <si>
    <t>4.2.5.5</t>
  </si>
  <si>
    <t>4.2.5.6</t>
  </si>
  <si>
    <t>4.2.6</t>
  </si>
  <si>
    <t>4.2.6.1</t>
  </si>
  <si>
    <t>4.2.6.2</t>
  </si>
  <si>
    <t>4.2.6.3</t>
  </si>
  <si>
    <t>4.2.6.4</t>
  </si>
  <si>
    <t>4.2.6.5</t>
  </si>
  <si>
    <t>4.2.6.6</t>
  </si>
  <si>
    <t>4.2.6.7</t>
  </si>
  <si>
    <t>4.2.7</t>
  </si>
  <si>
    <t>4.2.7.1</t>
  </si>
  <si>
    <t>4.2.7.1.1</t>
  </si>
  <si>
    <t>4.2.7.1.2</t>
  </si>
  <si>
    <t>4.2.7.1.3</t>
  </si>
  <si>
    <t>4.2.7.1.4</t>
  </si>
  <si>
    <t>4.2.7.1.5</t>
  </si>
  <si>
    <t>4.2.7.1.6</t>
  </si>
  <si>
    <t>4.2.7.1.7</t>
  </si>
  <si>
    <t>4.2.7.1.8</t>
  </si>
  <si>
    <t>Projetos em PDF</t>
  </si>
  <si>
    <t>4.2.7.1.9</t>
  </si>
  <si>
    <t>4.2.7.2</t>
  </si>
  <si>
    <t>Estruturas de Concreto Complementares Bloco A, Bloco D, Térreo e Subsolos 1, 2 e 3</t>
  </si>
  <si>
    <t>4.2.7.2.1</t>
  </si>
  <si>
    <t>4.2.7.2.2</t>
  </si>
  <si>
    <t>4.2.7.2.3</t>
  </si>
  <si>
    <t>4.2.7.2.4</t>
  </si>
  <si>
    <t>4.2.7.2.5</t>
  </si>
  <si>
    <t>4.2.7.2.6</t>
  </si>
  <si>
    <t>4.2.7.2.7</t>
  </si>
  <si>
    <t>4.2.7.2.8</t>
  </si>
  <si>
    <t>4.2.7.2.9</t>
  </si>
  <si>
    <t>4.2.8</t>
  </si>
  <si>
    <t>4.2.8.1</t>
  </si>
  <si>
    <t>4.2.8.2</t>
  </si>
  <si>
    <t>4.2.8.3</t>
  </si>
  <si>
    <t>4.2.8.4</t>
  </si>
  <si>
    <t>4.2.8.5</t>
  </si>
  <si>
    <t>4.2.8.6</t>
  </si>
  <si>
    <t>4.2.8.7</t>
  </si>
  <si>
    <t>4.2.9</t>
  </si>
  <si>
    <t>4.2.9.1</t>
  </si>
  <si>
    <t>4.2.9.2</t>
  </si>
  <si>
    <t xml:space="preserve">Diagrama Unifilar </t>
  </si>
  <si>
    <t>4.2.9.3</t>
  </si>
  <si>
    <t>4.2.9.4</t>
  </si>
  <si>
    <t>4.2.9.5</t>
  </si>
  <si>
    <t>4.2.9.6</t>
  </si>
  <si>
    <t>4.2.9.7</t>
  </si>
  <si>
    <t>4.2.9.8</t>
  </si>
  <si>
    <t>4.2.10</t>
  </si>
  <si>
    <t>4.2.10.1</t>
  </si>
  <si>
    <t>4.2.10.2</t>
  </si>
  <si>
    <t>4.2.10.3</t>
  </si>
  <si>
    <t>4.2.10.4</t>
  </si>
  <si>
    <t>4.2.10.5</t>
  </si>
  <si>
    <t>4.2.10.6</t>
  </si>
  <si>
    <t>4.2.10.7</t>
  </si>
  <si>
    <t>4.2.11</t>
  </si>
  <si>
    <t>4.2.11.1</t>
  </si>
  <si>
    <t>4.2.11.2</t>
  </si>
  <si>
    <t>4.2.11.3</t>
  </si>
  <si>
    <t>4.2.11.4</t>
  </si>
  <si>
    <t>4.2.11.5</t>
  </si>
  <si>
    <t>4.2.11.6</t>
  </si>
  <si>
    <t>4.2.11.7</t>
  </si>
  <si>
    <t>4.2.12</t>
  </si>
  <si>
    <t>4.2.12.1</t>
  </si>
  <si>
    <t>4.2.12.2</t>
  </si>
  <si>
    <t>4.2.12.3</t>
  </si>
  <si>
    <t>4.2.12.4</t>
  </si>
  <si>
    <t>4.2.12.5</t>
  </si>
  <si>
    <t>4.2.12.6</t>
  </si>
  <si>
    <t>4.2.12.7</t>
  </si>
  <si>
    <t>4.2.13</t>
  </si>
  <si>
    <t>4.2.13.1</t>
  </si>
  <si>
    <t>4.2.13.2</t>
  </si>
  <si>
    <t>4.2.13.3</t>
  </si>
  <si>
    <t>4.2.13.4</t>
  </si>
  <si>
    <t>4.2.13.5</t>
  </si>
  <si>
    <t>4.2.13.6</t>
  </si>
  <si>
    <t>4.2.13.7</t>
  </si>
  <si>
    <t>4.2.14</t>
  </si>
  <si>
    <t>4.2.14.1</t>
  </si>
  <si>
    <t>4.2.14.2</t>
  </si>
  <si>
    <t>4.2.14.3</t>
  </si>
  <si>
    <t>4.2.14.4</t>
  </si>
  <si>
    <t>4.2.14.5</t>
  </si>
  <si>
    <t>4.2.14.6</t>
  </si>
  <si>
    <t>4.2.14.7</t>
  </si>
  <si>
    <t>4.2.15</t>
  </si>
  <si>
    <t>4.2.15.1</t>
  </si>
  <si>
    <t>4.2.15.2</t>
  </si>
  <si>
    <t>4.2.15.3</t>
  </si>
  <si>
    <t>4.2.15.4</t>
  </si>
  <si>
    <t>4.2.15.5</t>
  </si>
  <si>
    <t>4.2.15.6</t>
  </si>
  <si>
    <t>4.2.15.7</t>
  </si>
  <si>
    <t>4.2.16</t>
  </si>
  <si>
    <t>Sistema Fotovoltaico (Geração de energia Solar)</t>
  </si>
  <si>
    <t>4.2.16.1</t>
  </si>
  <si>
    <t>4.2.16.2</t>
  </si>
  <si>
    <t>4.2.16.3</t>
  </si>
  <si>
    <t>4.2.16.4</t>
  </si>
  <si>
    <t>4.2.16.5</t>
  </si>
  <si>
    <t>4.2.16.6</t>
  </si>
  <si>
    <t>4.2.16.7</t>
  </si>
  <si>
    <t>4.2.16.8</t>
  </si>
  <si>
    <t>4.2.17</t>
  </si>
  <si>
    <t>4.2.17.1</t>
  </si>
  <si>
    <t>4.2.17.2</t>
  </si>
  <si>
    <t>4.2.17.3</t>
  </si>
  <si>
    <t>4.2.17.4</t>
  </si>
  <si>
    <t>4.2.17.5</t>
  </si>
  <si>
    <t>4.2.17.6</t>
  </si>
  <si>
    <t>4.2.17.7</t>
  </si>
  <si>
    <t>4.2.17.8</t>
  </si>
  <si>
    <t>4.2.18</t>
  </si>
  <si>
    <t>4.2.18.1</t>
  </si>
  <si>
    <t>4.2.18.2</t>
  </si>
  <si>
    <t>4.2.18.3</t>
  </si>
  <si>
    <t>4.2.18.4</t>
  </si>
  <si>
    <t>4.2.18.5</t>
  </si>
  <si>
    <t>4.2.18.6</t>
  </si>
  <si>
    <t>4.2.18.7</t>
  </si>
  <si>
    <t>4.2.18.8</t>
  </si>
  <si>
    <t>4.2.19</t>
  </si>
  <si>
    <t>4.2.19.1</t>
  </si>
  <si>
    <t>4.2.19.2</t>
  </si>
  <si>
    <t>4.2.19.3</t>
  </si>
  <si>
    <t>4.2.19.4</t>
  </si>
  <si>
    <t>4.2.19.5</t>
  </si>
  <si>
    <t>4.2.19.6</t>
  </si>
  <si>
    <t>4.2.19.7</t>
  </si>
  <si>
    <t>4.2.19.8</t>
  </si>
  <si>
    <t>4.2.20</t>
  </si>
  <si>
    <t>4.2.20.1</t>
  </si>
  <si>
    <t>4.2.20.2</t>
  </si>
  <si>
    <t>4.2.20.3</t>
  </si>
  <si>
    <t>4.2.20.4</t>
  </si>
  <si>
    <t>4.2.20.5</t>
  </si>
  <si>
    <t>4.2.20.6</t>
  </si>
  <si>
    <t>4.2.20.7</t>
  </si>
  <si>
    <t>4.2.20.8</t>
  </si>
  <si>
    <t>4.2.21</t>
  </si>
  <si>
    <t>4.2.21.1</t>
  </si>
  <si>
    <t>4.2.21.2</t>
  </si>
  <si>
    <t>4.2.21.3</t>
  </si>
  <si>
    <t>4.2.21.4</t>
  </si>
  <si>
    <t>4.2.21.5</t>
  </si>
  <si>
    <t>4.2.21.6</t>
  </si>
  <si>
    <t>4.2.21.7</t>
  </si>
  <si>
    <t>4.2.21.8</t>
  </si>
  <si>
    <t>4.2.22</t>
  </si>
  <si>
    <t>4.2.22.1</t>
  </si>
  <si>
    <t>4.2.22.2</t>
  </si>
  <si>
    <t>4.2.22.3</t>
  </si>
  <si>
    <t>4.2.22.4</t>
  </si>
  <si>
    <t>4.2.22.5</t>
  </si>
  <si>
    <t>4.2.22.6</t>
  </si>
  <si>
    <t>4.2.22.7</t>
  </si>
  <si>
    <t>4.2.24.8</t>
  </si>
  <si>
    <t>4.2.23</t>
  </si>
  <si>
    <t>4.2.23.1</t>
  </si>
  <si>
    <t>4.2.23.2</t>
  </si>
  <si>
    <t>4.2.23.3</t>
  </si>
  <si>
    <t>4.2.23.4</t>
  </si>
  <si>
    <t>4.2.23.5</t>
  </si>
  <si>
    <t>4.2.23.6</t>
  </si>
  <si>
    <t>4.2.23.7</t>
  </si>
  <si>
    <t>4.2.23.8</t>
  </si>
  <si>
    <t>4.2.24</t>
  </si>
  <si>
    <t>4.2.24.1</t>
  </si>
  <si>
    <t>4.2.24.2</t>
  </si>
  <si>
    <t>4.2.24.3</t>
  </si>
  <si>
    <t>4.2.24.4</t>
  </si>
  <si>
    <t>4.2.24.5</t>
  </si>
  <si>
    <t>4.2.24.6</t>
  </si>
  <si>
    <t>4.2.24.7</t>
  </si>
  <si>
    <t>4.2.25</t>
  </si>
  <si>
    <t>4.2.25.1</t>
  </si>
  <si>
    <t>4.2.25.2</t>
  </si>
  <si>
    <t>4.2.25.3</t>
  </si>
  <si>
    <t>4.2.25.4</t>
  </si>
  <si>
    <t>4.2.25.5</t>
  </si>
  <si>
    <t>4.2.25.6</t>
  </si>
  <si>
    <t>4.2.25.7</t>
  </si>
  <si>
    <t>4.2.25.8</t>
  </si>
  <si>
    <t>4.2.26</t>
  </si>
  <si>
    <t>4.2.26.1</t>
  </si>
  <si>
    <t>4.2.26.2</t>
  </si>
  <si>
    <t>4.2.26.3</t>
  </si>
  <si>
    <t>4.2.26.4</t>
  </si>
  <si>
    <t>4.2.26.5</t>
  </si>
  <si>
    <t>4.2.26.6</t>
  </si>
  <si>
    <t>4.2.26.7</t>
  </si>
  <si>
    <t>4.2.27</t>
  </si>
  <si>
    <t>4.2.27.1</t>
  </si>
  <si>
    <t>4.2.27.2</t>
  </si>
  <si>
    <t>4.2.27.3</t>
  </si>
  <si>
    <t>4.2.27.4</t>
  </si>
  <si>
    <t>4.2.27.5</t>
  </si>
  <si>
    <t>4.2.27.6</t>
  </si>
  <si>
    <t>4.2.27.7</t>
  </si>
  <si>
    <t>4.2.28</t>
  </si>
  <si>
    <t>4.2.28.1</t>
  </si>
  <si>
    <t>4.2.28.2</t>
  </si>
  <si>
    <t>4.2.28.3</t>
  </si>
  <si>
    <t>4.2.28.4</t>
  </si>
  <si>
    <t>4.2.28.5</t>
  </si>
  <si>
    <t>4.2.28.6</t>
  </si>
  <si>
    <t>4.2.28.7</t>
  </si>
  <si>
    <t>4.2.29</t>
  </si>
  <si>
    <t>4.2.29.1</t>
  </si>
  <si>
    <t>4.2.29.2</t>
  </si>
  <si>
    <t>4.2.29.3</t>
  </si>
  <si>
    <t>4.2.29.4</t>
  </si>
  <si>
    <t>4.2.29.5</t>
  </si>
  <si>
    <t>4.2.29.6</t>
  </si>
  <si>
    <t>4.2.29.7</t>
  </si>
  <si>
    <t>4.2.30</t>
  </si>
  <si>
    <t>4.2.30.1</t>
  </si>
  <si>
    <t>Total da Etapa -  Projeto Executivo</t>
  </si>
  <si>
    <t>5.0</t>
  </si>
  <si>
    <t>5.1</t>
  </si>
  <si>
    <t>Licença prévia</t>
  </si>
  <si>
    <t>5.2</t>
  </si>
  <si>
    <t>Licença de instalação</t>
  </si>
  <si>
    <t>5.3</t>
  </si>
  <si>
    <t>Aprovação do PGRCC e PGRS</t>
  </si>
  <si>
    <t>5.4</t>
  </si>
  <si>
    <t>Aprovação nas concessionárias (energia/esgoto)</t>
  </si>
  <si>
    <t>5.5</t>
  </si>
  <si>
    <t>Aprovação Corpo de Bombeiros Militar do Distrito Federal (CBM-DF)</t>
  </si>
  <si>
    <t>5.6</t>
  </si>
  <si>
    <t>Certificação de Eficiência Energética de Projeto (Selo Procel Edifica)</t>
  </si>
  <si>
    <t>5.7</t>
  </si>
  <si>
    <t>Total da Etapa - Projeto Legal</t>
  </si>
  <si>
    <t>VALOR FINAL (EP+AP+PB+PE+PL)</t>
  </si>
  <si>
    <t>ESTIMATIVA DE DE HORAS TÉCNICAS</t>
  </si>
  <si>
    <t>DATA-BASE SINAPI NÃO DESONERADO MENSALISTA: 01/2020</t>
  </si>
  <si>
    <t>CUSTO HORAS TÉCNICAS</t>
  </si>
  <si>
    <t>Percentual</t>
  </si>
  <si>
    <t>UNID</t>
  </si>
  <si>
    <t>ESTIMATIVA DE HORAS TÉCNICAS</t>
  </si>
  <si>
    <t>EQUIPE TÉCNICA</t>
  </si>
  <si>
    <t>PROFISSIONAIS</t>
  </si>
  <si>
    <t>Engº civil júnior</t>
  </si>
  <si>
    <t>Engº civil pleno</t>
  </si>
  <si>
    <t>Engº civil sênior</t>
  </si>
  <si>
    <t>Arqº júnior</t>
  </si>
  <si>
    <t>Arqº pleno</t>
  </si>
  <si>
    <t>Arqº sênior</t>
  </si>
  <si>
    <t>Engº eletricista Pleno</t>
  </si>
  <si>
    <t>Engº eletricista / Automação pleno</t>
  </si>
  <si>
    <t>Engº mecânico junior</t>
  </si>
  <si>
    <t>Engº mecânico pleno</t>
  </si>
  <si>
    <t>Engº sanitarista/ambiental</t>
  </si>
  <si>
    <t>Auxiliar de CAD/BIM (Desenhista técnico auxiliar)</t>
  </si>
  <si>
    <t>Desenhista CAD/BIM (Desenhista Projetista)</t>
  </si>
  <si>
    <t>Auxiliar de Topógrafo</t>
  </si>
  <si>
    <t>Topógrafo</t>
  </si>
  <si>
    <t>Mestre de obras</t>
  </si>
  <si>
    <t>Horas</t>
  </si>
  <si>
    <t>Relatório de Avaliação dos Projetos Existentes Geral - Planejamento e levantamento de necessidades</t>
  </si>
  <si>
    <t>Total de Horas Estudos Preliminares</t>
  </si>
  <si>
    <t>ANTEPROJETOS</t>
  </si>
  <si>
    <t>Plano de Gerenciamento de Resíduos da Construção Civil (PGRCC)</t>
  </si>
  <si>
    <t>Cronograma físico-financeiro, Estrutura Analítica de Projeto (EAP) e Planejamento da Obra (MS-Project) da obra - estrutura bloco C (executivo)</t>
  </si>
  <si>
    <t xml:space="preserve"> Composição de Custo Unitários (CCU), Cotação de preços paradigmas (SINAPI, SICRO, mercado e outros) - estrutura bloco C (Executivo)</t>
  </si>
  <si>
    <t>ANTEPROJETOS - Disciplinas</t>
  </si>
  <si>
    <t>Projetos em BIM - 3D geral</t>
  </si>
  <si>
    <t>Estruturas de Concreto (Protendido e Armado) Complementares Bloco A, Bloco B Bloco D, Passarelas, Térreo e Subsolos 1, 2 e 3</t>
  </si>
  <si>
    <t>Ventilação de escadas, subsolos e áreas protegidas</t>
  </si>
  <si>
    <t>Total de Horas Anteprojetos</t>
  </si>
  <si>
    <t>horas</t>
  </si>
  <si>
    <t xml:space="preserve"> Composição de Custo Unitários (CCU), Cotação de preços paradigmas (SINAPI, SICRO, mercado e outros)</t>
  </si>
  <si>
    <t>Total de horas anteprojeto - Geral</t>
  </si>
  <si>
    <t>3.2.24.8</t>
  </si>
  <si>
    <t>4.2.22.8</t>
  </si>
  <si>
    <t>Total de Horas Projeto Executivo</t>
  </si>
  <si>
    <t>Total de Horas Projeto Legal</t>
  </si>
  <si>
    <t>Total de Horas = EP+AP+PB+PE+PL</t>
  </si>
  <si>
    <t>CUSTO DAS HORAS TÉCNICAS</t>
  </si>
  <si>
    <t>SINAPI 05/2021</t>
  </si>
  <si>
    <t>Categoria</t>
  </si>
  <si>
    <t>Unid.</t>
  </si>
  <si>
    <t>Custo/mês com leis sociais</t>
  </si>
  <si>
    <t>Custo/mês sem leis sociais</t>
  </si>
  <si>
    <t>Custo/hora sem leis sociais</t>
  </si>
  <si>
    <t>Engenheiro Civil Sênior</t>
  </si>
  <si>
    <t>mês</t>
  </si>
  <si>
    <t>Engenheiro Civil Pleno</t>
  </si>
  <si>
    <t>Engenheiro Civil junior</t>
  </si>
  <si>
    <t>Arquiteto Sênior</t>
  </si>
  <si>
    <t>Arquiteto Junior</t>
  </si>
  <si>
    <t>Arquiteto Pleno</t>
  </si>
  <si>
    <t>Engenheiro Sanitarista/Ambiental</t>
  </si>
  <si>
    <t>Engenheiro Mecânico pleno</t>
  </si>
  <si>
    <t>Engenheiro Mecânico júnior</t>
  </si>
  <si>
    <t>Engenheiro Eletricista / Automação Pleno</t>
  </si>
  <si>
    <r>
      <t xml:space="preserve">Engenheiro Eletricista </t>
    </r>
    <r>
      <rPr>
        <sz val="11"/>
        <rFont val="Calibri"/>
        <family val="2"/>
        <scheme val="minor"/>
      </rPr>
      <t>(Pleno)</t>
    </r>
  </si>
  <si>
    <t>Desenhista técnico auxiliar</t>
  </si>
  <si>
    <t>Desenhista Projetista</t>
  </si>
  <si>
    <t>Auxiliar de Escritório</t>
  </si>
  <si>
    <t>Assitente de engenharia (topógrafo)</t>
  </si>
  <si>
    <r>
      <t>Encargos Sociais SINAPI no Distrito Federal a partir de 10/2020. Sem desoneração - Mensalista =</t>
    </r>
    <r>
      <rPr>
        <b/>
        <sz val="11"/>
        <color theme="1"/>
        <rFont val="Calibri"/>
        <family val="2"/>
        <scheme val="minor"/>
      </rPr>
      <t xml:space="preserve"> 73,06%</t>
    </r>
  </si>
  <si>
    <t>Fator K</t>
  </si>
  <si>
    <t>Legenda:</t>
  </si>
  <si>
    <t>Itens mínimos a serem entregues no Projeto Básico - Etapa 1</t>
  </si>
  <si>
    <t>CÁLCULO DO FATOR "K" E "TRDE"</t>
  </si>
  <si>
    <t>Legenda fator "K"*²</t>
  </si>
  <si>
    <t>K1</t>
  </si>
  <si>
    <t>K2</t>
  </si>
  <si>
    <t>K3</t>
  </si>
  <si>
    <t>K4</t>
  </si>
  <si>
    <t>fator "K"</t>
  </si>
  <si>
    <t>TRDE</t>
  </si>
  <si>
    <t>Legenda e fórmulas utilizadas conforme "Orientações para Elaboração de Planilhas Orçamentárias Obras Públicas" TCU.</t>
  </si>
  <si>
    <t>PV = CDsal x K + Cdoutros</t>
  </si>
  <si>
    <t>K = (1+k1+k2)(1+k3)(1+k4)</t>
  </si>
  <si>
    <t>sendo:</t>
  </si>
  <si>
    <t>PV: preço de venda total praticado pela empresa de engenharia consultiva.</t>
  </si>
  <si>
    <t>Cdsal: custo direto de salários.</t>
  </si>
  <si>
    <t>K: fator "K"</t>
  </si>
  <si>
    <t>CDoutros: demais custos diretos</t>
  </si>
  <si>
    <t>TRDE: taxa de ressarcimento de despesas e encargos</t>
  </si>
  <si>
    <t>K1: encargos sociais incidentes sobre a mão de obra mensalista - SINAPI Maio/2021 = 73,06%</t>
  </si>
  <si>
    <r>
      <t xml:space="preserve">K2: administração central da empresa de consultoria (ou </t>
    </r>
    <r>
      <rPr>
        <i/>
        <sz val="11"/>
        <color theme="1"/>
        <rFont val="Calibri"/>
        <family val="2"/>
        <scheme val="minor"/>
      </rPr>
      <t>overhead</t>
    </r>
    <r>
      <rPr>
        <sz val="11"/>
        <color theme="1"/>
        <rFont val="Calibri"/>
        <family val="2"/>
        <scheme val="minor"/>
      </rPr>
      <t>)</t>
    </r>
  </si>
  <si>
    <t>K3: fator relativo aos tributos incidentes sobre o preço de venda.</t>
  </si>
  <si>
    <t>K4: fator relativo aos tributos incidentes sobre o preço de venda, dado pela equação K4 = I/(1-I), em que “I” são os referidos tributos.</t>
  </si>
  <si>
    <t>PIS - considerar 80 % da taxa</t>
  </si>
  <si>
    <t>Cofins - Considerar 80 % da taxa</t>
  </si>
  <si>
    <t>ISS</t>
  </si>
  <si>
    <t xml:space="preserve">K4: </t>
  </si>
  <si>
    <t>Notas:</t>
  </si>
  <si>
    <t>*¹ Não foram incluídas passagens nos cálculos dos custos considerando a estimativa do preço mais vantajoso para a Administração.</t>
  </si>
  <si>
    <t>*² Os valores de K2 a K4 foram definidos conforme exemplo "Orientações para Elaboração de Planilhas Orçamentárias Obras Públicas" TCU. E o de K1 foi retirado do SINAPI, sendo os Encargos Sociais  no Distrito federal a partir de 10/2020, sem a desoneração da folha de pagamentos, para profissionais mensalistas, igual a 73,06%.</t>
  </si>
  <si>
    <t>ESTIMATIVA DE OUTROS CUSTOS DIRETOS</t>
  </si>
  <si>
    <t>ÓRGÃO CONTRATANTE: TRIBUNAL REGIONAL FEDERAL DA 1º REGIÃO</t>
  </si>
  <si>
    <t>DATA-BASE: 05/2021/SINAPI</t>
  </si>
  <si>
    <t>DESCRIÇÃO</t>
  </si>
  <si>
    <t>UNID.</t>
  </si>
  <si>
    <t>QUANT.</t>
  </si>
  <si>
    <t>PR. UNIT. S/"TRDE"</t>
  </si>
  <si>
    <t>SUBTOTAL S/ "TRDE"</t>
  </si>
  <si>
    <t>01.00</t>
  </si>
  <si>
    <t>pesquisa de merc.</t>
  </si>
  <si>
    <t>Encadernações</t>
  </si>
  <si>
    <t>Cópia/ impressão A4</t>
  </si>
  <si>
    <t>Impressão A1</t>
  </si>
  <si>
    <t>CREA/CAU</t>
  </si>
  <si>
    <t xml:space="preserve"> ART/RRT contrato</t>
  </si>
  <si>
    <t xml:space="preserve"> ART/RRT complementar dos projetos e planilhas</t>
  </si>
  <si>
    <t>SUBTOTAL:</t>
  </si>
  <si>
    <t>Cópia/ impressão A3</t>
  </si>
  <si>
    <t>TOTAL:</t>
  </si>
  <si>
    <t>CRONOGRAMA FÍSICO-FINANCEIRO</t>
  </si>
  <si>
    <r>
      <t>TRIBUNAL REGIONAL FEDERAL DA 1</t>
    </r>
    <r>
      <rPr>
        <sz val="11"/>
        <color theme="1"/>
        <rFont val="Calibri"/>
        <family val="2"/>
      </rPr>
      <t>ª</t>
    </r>
    <r>
      <rPr>
        <sz val="9.35"/>
        <color theme="1"/>
        <rFont val="Calibri"/>
        <family val="2"/>
      </rPr>
      <t xml:space="preserve"> REGIÃO</t>
    </r>
  </si>
  <si>
    <t>PROJETO:</t>
  </si>
  <si>
    <t>Elaboração de projetos para execução da Nova Sede do TRF1</t>
  </si>
  <si>
    <t>DIAS</t>
  </si>
  <si>
    <r>
      <t>PRESTAÇÃO DE SERVIÇOS DE TRABALHOS TÉCNICO-PROFISSIONAL PARA ELABORAÇÃO DOS PROJETOS REMANESCENTES DA OBRA DA NOVA SEDE DO TRF DA 1</t>
    </r>
    <r>
      <rPr>
        <b/>
        <sz val="11"/>
        <color theme="1"/>
        <rFont val="Calibri"/>
        <family val="2"/>
      </rPr>
      <t>ª</t>
    </r>
    <r>
      <rPr>
        <b/>
        <sz val="12.65"/>
        <color theme="1"/>
        <rFont val="Calibri"/>
        <family val="2"/>
      </rPr>
      <t xml:space="preserve"> REGIÃO</t>
    </r>
  </si>
  <si>
    <t>ETAPA</t>
  </si>
  <si>
    <t>EP</t>
  </si>
  <si>
    <t>AP</t>
  </si>
  <si>
    <t>PB - Subetapa 1</t>
  </si>
  <si>
    <t>PB - Subetapa 2</t>
  </si>
  <si>
    <t>PE</t>
  </si>
  <si>
    <t>PL</t>
  </si>
  <si>
    <t>REUNIÃO INICIAL</t>
  </si>
  <si>
    <t>PLANEJAMENTO</t>
  </si>
  <si>
    <t>EXECUÇÃO</t>
  </si>
  <si>
    <t>ANÁLISE</t>
  </si>
  <si>
    <t>CORREÇÃO</t>
  </si>
  <si>
    <t>REUNIÃO DE APROVAÇÃO</t>
  </si>
  <si>
    <t>Prazo Suspenso</t>
  </si>
  <si>
    <t>Etapas dias</t>
  </si>
  <si>
    <t>TOTAL dias</t>
  </si>
  <si>
    <t>VALOR SIMPLES (R$)</t>
  </si>
  <si>
    <t>PERCENTUAL SIMPLES</t>
  </si>
  <si>
    <t>VALOR ACUMULADO (R$)</t>
  </si>
  <si>
    <t>PERCENTUAL ACUMULADO</t>
  </si>
  <si>
    <t xml:space="preserve">Memória de cálculo dos quantitativos para Laudo Pericial </t>
  </si>
  <si>
    <t>Objeto: Laudo Pericial nos tubulões, blocos e pilares do bloco C (PA1, PA2, PA6 e PA7)</t>
  </si>
  <si>
    <t>Local: Obra do TRF da 1ª Região, Brasília-DF</t>
  </si>
  <si>
    <t>SINAPI 05/2021 sem desoneração</t>
  </si>
  <si>
    <t>SINAPI - 73616</t>
  </si>
  <si>
    <t>Demolição de concreto simples</t>
  </si>
  <si>
    <t>PA1</t>
  </si>
  <si>
    <t>Área do pilar</t>
  </si>
  <si>
    <t>m²</t>
  </si>
  <si>
    <t xml:space="preserve">Área total de concreto </t>
  </si>
  <si>
    <t xml:space="preserve">Área de concreto a ser demolida </t>
  </si>
  <si>
    <t>Espessura média do piso de concreto</t>
  </si>
  <si>
    <t>m</t>
  </si>
  <si>
    <t>Volume de concreto a ser demolido</t>
  </si>
  <si>
    <t>m³</t>
  </si>
  <si>
    <t>PA7</t>
  </si>
  <si>
    <t>Volume total de concreto a ser demolido PA1 e PA7</t>
  </si>
  <si>
    <t>SINAPI - 73965/11</t>
  </si>
  <si>
    <t>Escavação manual de vala em material de 1ª categoria, excluído escoramento,</t>
  </si>
  <si>
    <t>PA2</t>
  </si>
  <si>
    <t>Volume ocupado pelo pilar e bloco de fundação até o nível da face inferior do bolco</t>
  </si>
  <si>
    <t>Volume bruto da vala</t>
  </si>
  <si>
    <t>Volume de solo a ser escavado</t>
  </si>
  <si>
    <t>PA6</t>
  </si>
  <si>
    <t>Volume total de terra a ser escavada nas valas PA2, PA6 e PA7</t>
  </si>
  <si>
    <t>SINAPI  - 79475</t>
  </si>
  <si>
    <t>2.5</t>
  </si>
  <si>
    <t xml:space="preserve">Escavação manual campo aberto p/tubulão </t>
  </si>
  <si>
    <t>Diâmetro da escavação</t>
  </si>
  <si>
    <t>Valor de projeto</t>
  </si>
  <si>
    <t>Altura do fuste e base dos tubulões</t>
  </si>
  <si>
    <t>Número de poços de inspeção</t>
  </si>
  <si>
    <t>pi</t>
  </si>
  <si>
    <t>r2</t>
  </si>
  <si>
    <t xml:space="preserve">PA2 </t>
  </si>
  <si>
    <t>Volume a ser escavado nos poços de inspeção PA1, PA2, PA6 e PA7</t>
  </si>
  <si>
    <t>SINAPI - 73806/1</t>
  </si>
  <si>
    <t>2.4</t>
  </si>
  <si>
    <t>Limpeza de superfícies com jato de alta pressão de água</t>
  </si>
  <si>
    <t xml:space="preserve">Blocos de fundação do PA1 </t>
  </si>
  <si>
    <t>Área  a ser limpa na sapata</t>
  </si>
  <si>
    <t>Bloco de fundação do PA2</t>
  </si>
  <si>
    <t>Área das faces laterais a serem limpas</t>
  </si>
  <si>
    <t>Área ocupada pelos pilares nas faces superiores dos blocos de fundação</t>
  </si>
  <si>
    <t>Área bruta das faces superiores dos blocos de fundação</t>
  </si>
  <si>
    <t>Área das faces superiores a serem limpas</t>
  </si>
  <si>
    <t>Área a ser limpa nos tubulões</t>
  </si>
  <si>
    <t>Área total a ser limpa no bloco de fundação PA2</t>
  </si>
  <si>
    <t>Área total a ser limpa no bloco de fundação PA6</t>
  </si>
  <si>
    <t>Bloco de fundação do PA7</t>
  </si>
  <si>
    <t>Área total a ser limpa nas faces dos blocos de fundação</t>
  </si>
  <si>
    <t>Área total a ser limpa nos blocos de fundação do PA1 e PA7</t>
  </si>
  <si>
    <t>SINAPI - 73877/1</t>
  </si>
  <si>
    <t>2.3</t>
  </si>
  <si>
    <t>Escoramento de valas com pranchões metálicos e quadros com longarinas de madeira 3x5", inclusive posterior retirada</t>
  </si>
  <si>
    <t>Área das paredes das valetas para inspeção do bloco a serem escoradas (PA2)</t>
  </si>
  <si>
    <t>Área das paredes das valetas para inspeção do bloco a serem escoradas (PA6)</t>
  </si>
  <si>
    <t>Área das paredes das valetas para inspeção do bloco a serem escoradas (PA7)</t>
  </si>
  <si>
    <t>Área das paredes das valetas para inspeção dos blocos a serem escoradas PA2, PA6 e PA7</t>
  </si>
  <si>
    <t>SINAPI - 89993</t>
  </si>
  <si>
    <t>2.10</t>
  </si>
  <si>
    <t>Grauteamento vertical estrutural</t>
  </si>
  <si>
    <t>Volume de graute a ser aplicado nos furos oriundos dos testemunhos (PA1, PA2, PA6 e PA7)</t>
  </si>
  <si>
    <t>SINAPI - 5719</t>
  </si>
  <si>
    <t>2.8</t>
  </si>
  <si>
    <t>Aterro apiloado em camadas de 20 cm</t>
  </si>
  <si>
    <t xml:space="preserve">Volume de solo </t>
  </si>
  <si>
    <t>Volume total de aterro a ser apiloado PA2, PA6 e PA7</t>
  </si>
  <si>
    <t>ESTIMATIVA DE PREÇOS</t>
  </si>
  <si>
    <t>Objeto: Laudo Pericial nos tubulões, blocos, laje e pilares do bloco C (PA1, PA2, PA6 e PA7)</t>
  </si>
  <si>
    <t>Bases de Preços: SINAPI 05/2021,  ORSE 03/2021, SBC 06/2021 e SIURB 01/2021, todas sem desoneração da mão de obra</t>
  </si>
  <si>
    <t>Referência de Preço:   Não Citado - SINAPI</t>
  </si>
  <si>
    <t>Item</t>
  </si>
  <si>
    <t>Descrição do serviço</t>
  </si>
  <si>
    <t>Und</t>
  </si>
  <si>
    <t>Quant.</t>
  </si>
  <si>
    <t>Custo unitário</t>
  </si>
  <si>
    <t>Custo total do item</t>
  </si>
  <si>
    <t>Custos parciais</t>
  </si>
  <si>
    <t>1</t>
  </si>
  <si>
    <t>Outros custos Diretos</t>
  </si>
  <si>
    <t>016500/SBC</t>
  </si>
  <si>
    <t>Placa de responsabilidade técnica em obras</t>
  </si>
  <si>
    <t>m2</t>
  </si>
  <si>
    <t>012223/SBC</t>
  </si>
  <si>
    <t>Tapume/Cercamento altura 1,20m Tela Plástica fachadeira</t>
  </si>
  <si>
    <t>Mob e desmobilização: caminhão toco carroceria de carga em geral</t>
  </si>
  <si>
    <t>CHP</t>
  </si>
  <si>
    <t>Demolição de concreto simples c martelete</t>
  </si>
  <si>
    <t>02498/ORSE</t>
  </si>
  <si>
    <t>Escavação manual de vala em material de 1a categoria, excluído escoramento,</t>
  </si>
  <si>
    <t>7134/ORSE</t>
  </si>
  <si>
    <t>Escoramento metálico para valas, 2,5&lt;=4,0 m, com pranchas metálicas de 4.7mm  x 30 cm e longarinas e transversinas em perfis de aço, reaproveitamento: 60 vezes,</t>
  </si>
  <si>
    <t>Tubulão a céu aberto, diâmetro do fuste 80 cm, escavação manual, sem alargamento de base, com concreto e lançado com bomba ou diretamente do caminhão.</t>
  </si>
  <si>
    <t>Furo em concreto para diâmetros maiores que 75mm</t>
  </si>
  <si>
    <t>un</t>
  </si>
  <si>
    <t>h</t>
  </si>
  <si>
    <t>Composição Própria</t>
  </si>
  <si>
    <t>2</t>
  </si>
  <si>
    <t>CPU-01</t>
  </si>
  <si>
    <t>Grauteamento dos furos dos ensaios</t>
  </si>
  <si>
    <t>m3</t>
  </si>
  <si>
    <t>3</t>
  </si>
  <si>
    <t>11105/ORSE</t>
  </si>
  <si>
    <t>Moldagem de corpos de prova</t>
  </si>
  <si>
    <t>um</t>
  </si>
  <si>
    <t>200602/SIURB</t>
  </si>
  <si>
    <t xml:space="preserve">Ensaio de resistência à compressão </t>
  </si>
  <si>
    <t xml:space="preserve">Total </t>
  </si>
  <si>
    <t>Obs: Os serviços de supervisão técnica foram incluídos na aba "orçamento por escopo" com o título de Laudo Pericial de tubulões, blocos e pilares PA1, PA2, PA6 e PA7 do bloco C - supervisão técnica".</t>
  </si>
  <si>
    <t>Corpos de prova:</t>
  </si>
  <si>
    <t>Empresa - 2 para cada laboratório (totalizando 4 por estrutura)</t>
  </si>
  <si>
    <t>TRF1 - 2 para contraprova, se necessário</t>
  </si>
  <si>
    <t xml:space="preserve">Objeto: Laudo Pericial com solução da laje da praça em concreto e viga V60 </t>
  </si>
  <si>
    <t>Concreto - Ensaio de ruptura à compressão (corpo de prova)</t>
  </si>
  <si>
    <t>Obs: Os serviços de supervisão técnica foram incluídos na aba "orçamento por escopo" com o título de "Laudo Pericial da laje da praça em concreto - supervisão técnica".</t>
  </si>
  <si>
    <t>CPU</t>
  </si>
  <si>
    <t>GRAUTEAMENTO DOS FUROS DOS ENSAIOS</t>
  </si>
  <si>
    <t>M3</t>
  </si>
  <si>
    <t>QNT</t>
  </si>
  <si>
    <t>VALOR UNT</t>
  </si>
  <si>
    <t>Valor final</t>
  </si>
  <si>
    <t>COMPOSICAO</t>
  </si>
  <si>
    <t>88309</t>
  </si>
  <si>
    <t>PEDREIRO COM ENCARGOS COMPLEMENTARES</t>
  </si>
  <si>
    <t>H</t>
  </si>
  <si>
    <t>8,0998000</t>
  </si>
  <si>
    <t>SERVENTE COM ENCARGOS COMPLEMENTARES</t>
  </si>
  <si>
    <t>5,7292000</t>
  </si>
  <si>
    <t>INSUMO</t>
  </si>
  <si>
    <t>GRAUTE CIMENTÍCIO PARA USO GERAL</t>
  </si>
  <si>
    <t>Kg</t>
  </si>
  <si>
    <t>Composição adaptada</t>
  </si>
  <si>
    <t>Referência - SINAPI 89993</t>
  </si>
  <si>
    <t>Base Referencial</t>
  </si>
  <si>
    <t>CURVA ABC</t>
  </si>
  <si>
    <t xml:space="preserve"> DISCIPLINAS</t>
  </si>
  <si>
    <t>VALOR</t>
  </si>
  <si>
    <t>% ACUMULADO</t>
  </si>
  <si>
    <t>CONCEITO</t>
  </si>
  <si>
    <t>Estruturas de Concreto (Protendido e Armado) Complementares Bloco A, Bloco B, Bloco C, Bloco D, Passarelas, Térreo e Subsolos 1, 2 e 3</t>
  </si>
  <si>
    <t>VALOR TOTAL</t>
  </si>
  <si>
    <t xml:space="preserve">CONCEITO </t>
  </si>
  <si>
    <t>A</t>
  </si>
  <si>
    <t>B</t>
  </si>
  <si>
    <t>C</t>
  </si>
  <si>
    <t>Eco Cópia</t>
  </si>
  <si>
    <t>LM Copiadora</t>
  </si>
  <si>
    <t>Digital Copy</t>
  </si>
  <si>
    <t>Copiadora Planalto</t>
  </si>
  <si>
    <t>FINAL</t>
  </si>
  <si>
    <t>INCC Fevereiro</t>
  </si>
  <si>
    <t>Valor corrigido para Janeiro</t>
  </si>
  <si>
    <t>-</t>
  </si>
  <si>
    <t>INCC</t>
  </si>
  <si>
    <t>https://portalibre.fgv.br/data/files/D9/07/58/08/A4760710199794F68904CBA8/RELATORIO%20INCC-M%20FECHAMENTO%20-%20Fev20%20R.pdf?utm_source=portal-fgv&amp;utm_medium=fgvnoticias&amp;utm_campaign=fgvnoticias-2020-02-28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</si>
</sst>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0.0000%"/>
    <numFmt numFmtId="168" formatCode="_(&quot;R$ &quot;* #,##0.00_);_(&quot;R$ &quot;* \(#,##0.00\);_(&quot;R$ &quot;* &quot;-&quot;??_);_(@_)"/>
    <numFmt numFmtId="169" formatCode="_-[$R$-416]\ * #,##0.00_-;\-[$R$-416]\ * #,##0.00_-;_-[$R$-416]\ * &quot;-&quot;??_-;_-@_-"/>
    <numFmt numFmtId="170" formatCode="0.000"/>
    <numFmt numFmtId="171" formatCode="0.0000"/>
    <numFmt numFmtId="172" formatCode="#,##0.0000"/>
    <numFmt numFmtId="173" formatCode="#,##0.000"/>
    <numFmt numFmtId="174" formatCode="#,##0.00;[Red]#,##0.00"/>
    <numFmt numFmtId="175" formatCode="#,##0.0"/>
    <numFmt numFmtId="176" formatCode="_-* #,##0.00000_-;\-* #,##0.00000_-;_-* &quot;-&quot;??_-;_-@_-"/>
    <numFmt numFmtId="177" formatCode="0.0%"/>
  </numFmts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Verdana"/>
      <family val="2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9.35"/>
      <color theme="1"/>
      <name val="Calibri"/>
      <family val="2"/>
    </font>
    <font>
      <b/>
      <sz val="12.65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9.35"/>
      <color theme="1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66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0000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01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3" borderId="52" applyNumberFormat="0" applyFont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" fillId="0" borderId="0"/>
    <xf numFmtId="0" fontId="31" fillId="0" borderId="0" applyNumberFormat="0" applyFill="0" applyBorder="0" applyAlignment="0" applyProtection="0">
      <alignment vertical="top"/>
      <protection locked="0"/>
    </xf>
  </cellStyleXfs>
  <cellXfs count="999">
    <xf numFmtId="0" fontId="0" fillId="0" borderId="0" xfId="0"/>
    <xf numFmtId="43" fontId="0" fillId="0" borderId="0" xfId="1" applyFont="1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2" borderId="3" xfId="0" applyFill="1" applyBorder="1"/>
    <xf numFmtId="0" fontId="0" fillId="0" borderId="0" xfId="0" applyAlignment="1">
      <alignment horizontal="right"/>
    </xf>
    <xf numFmtId="43" fontId="1" fillId="0" borderId="0" xfId="1" applyFont="1"/>
    <xf numFmtId="43" fontId="1" fillId="0" borderId="0" xfId="0" applyNumberFormat="1" applyFont="1"/>
    <xf numFmtId="10" fontId="0" fillId="0" borderId="0" xfId="2" applyNumberFormat="1" applyFont="1"/>
    <xf numFmtId="0" fontId="0" fillId="0" borderId="34" xfId="0" applyBorder="1"/>
    <xf numFmtId="0" fontId="0" fillId="0" borderId="38" xfId="0" applyBorder="1"/>
    <xf numFmtId="0" fontId="1" fillId="2" borderId="11" xfId="0" applyFont="1" applyFill="1" applyBorder="1" applyAlignment="1">
      <alignment horizontal="right"/>
    </xf>
    <xf numFmtId="0" fontId="0" fillId="2" borderId="29" xfId="0" applyFont="1" applyFill="1" applyBorder="1"/>
    <xf numFmtId="0" fontId="0" fillId="2" borderId="9" xfId="0" applyFill="1" applyBorder="1"/>
    <xf numFmtId="0" fontId="0" fillId="2" borderId="18" xfId="0" applyFill="1" applyBorder="1"/>
    <xf numFmtId="0" fontId="0" fillId="2" borderId="42" xfId="0" applyFill="1" applyBorder="1"/>
    <xf numFmtId="1" fontId="0" fillId="2" borderId="30" xfId="0" applyNumberFormat="1" applyFill="1" applyBorder="1" applyAlignment="1">
      <alignment horizontal="center"/>
    </xf>
    <xf numFmtId="0" fontId="0" fillId="2" borderId="13" xfId="0" applyFill="1" applyBorder="1"/>
    <xf numFmtId="1" fontId="0" fillId="2" borderId="3" xfId="0" applyNumberFormat="1" applyFill="1" applyBorder="1" applyAlignment="1">
      <alignment horizontal="center"/>
    </xf>
    <xf numFmtId="0" fontId="0" fillId="2" borderId="3" xfId="0" applyFont="1" applyFill="1" applyBorder="1"/>
    <xf numFmtId="0" fontId="0" fillId="0" borderId="13" xfId="0" applyBorder="1"/>
    <xf numFmtId="0" fontId="0" fillId="2" borderId="4" xfId="0" applyFill="1" applyBorder="1"/>
    <xf numFmtId="0" fontId="0" fillId="2" borderId="11" xfId="0" applyFill="1" applyBorder="1"/>
    <xf numFmtId="0" fontId="0" fillId="2" borderId="50" xfId="0" applyFill="1" applyBorder="1"/>
    <xf numFmtId="0" fontId="0" fillId="2" borderId="49" xfId="0" applyFill="1" applyBorder="1"/>
    <xf numFmtId="0" fontId="0" fillId="2" borderId="32" xfId="0" applyFill="1" applyBorder="1"/>
    <xf numFmtId="0" fontId="0" fillId="0" borderId="29" xfId="0" applyBorder="1"/>
    <xf numFmtId="1" fontId="0" fillId="2" borderId="0" xfId="0" applyNumberFormat="1" applyFill="1" applyBorder="1"/>
    <xf numFmtId="1" fontId="1" fillId="2" borderId="3" xfId="0" applyNumberFormat="1" applyFont="1" applyFill="1" applyBorder="1" applyAlignment="1">
      <alignment horizontal="right"/>
    </xf>
    <xf numFmtId="0" fontId="1" fillId="2" borderId="4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0" fillId="2" borderId="12" xfId="0" applyFill="1" applyBorder="1"/>
    <xf numFmtId="0" fontId="0" fillId="0" borderId="23" xfId="0" applyBorder="1" applyAlignment="1">
      <alignment horizontal="right"/>
    </xf>
    <xf numFmtId="0" fontId="0" fillId="0" borderId="14" xfId="0" applyBorder="1" applyAlignment="1">
      <alignment horizontal="right"/>
    </xf>
    <xf numFmtId="0" fontId="1" fillId="0" borderId="14" xfId="0" applyFont="1" applyBorder="1" applyAlignment="1">
      <alignment horizontal="right"/>
    </xf>
    <xf numFmtId="0" fontId="1" fillId="2" borderId="44" xfId="0" applyFont="1" applyFill="1" applyBorder="1" applyAlignment="1">
      <alignment horizontal="right"/>
    </xf>
    <xf numFmtId="2" fontId="0" fillId="0" borderId="0" xfId="0" applyNumberFormat="1"/>
    <xf numFmtId="0" fontId="0" fillId="0" borderId="0" xfId="0" applyAlignment="1">
      <alignment horizontal="left"/>
    </xf>
    <xf numFmtId="0" fontId="1" fillId="2" borderId="3" xfId="0" applyFont="1" applyFill="1" applyBorder="1" applyAlignment="1">
      <alignment horizontal="center"/>
    </xf>
    <xf numFmtId="0" fontId="0" fillId="0" borderId="7" xfId="0" applyBorder="1"/>
    <xf numFmtId="0" fontId="0" fillId="16" borderId="1" xfId="0" applyFill="1" applyBorder="1" applyAlignment="1">
      <alignment horizontal="center"/>
    </xf>
    <xf numFmtId="0" fontId="0" fillId="16" borderId="4" xfId="0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2" borderId="10" xfId="0" applyFill="1" applyBorder="1"/>
    <xf numFmtId="0" fontId="1" fillId="2" borderId="12" xfId="0" applyFont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16" borderId="14" xfId="0" applyFill="1" applyBorder="1" applyAlignment="1">
      <alignment horizontal="center"/>
    </xf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0" fontId="0" fillId="16" borderId="6" xfId="0" applyFill="1" applyBorder="1" applyAlignment="1">
      <alignment horizontal="center"/>
    </xf>
    <xf numFmtId="1" fontId="0" fillId="2" borderId="28" xfId="0" applyNumberFormat="1" applyFill="1" applyBorder="1"/>
    <xf numFmtId="0" fontId="0" fillId="16" borderId="37" xfId="0" applyFill="1" applyBorder="1" applyAlignment="1">
      <alignment horizontal="center"/>
    </xf>
    <xf numFmtId="1" fontId="1" fillId="2" borderId="41" xfId="0" applyNumberFormat="1" applyFont="1" applyFill="1" applyBorder="1"/>
    <xf numFmtId="4" fontId="1" fillId="2" borderId="27" xfId="0" applyNumberFormat="1" applyFont="1" applyFill="1" applyBorder="1"/>
    <xf numFmtId="4" fontId="1" fillId="0" borderId="41" xfId="0" applyNumberFormat="1" applyFont="1" applyBorder="1" applyAlignment="1">
      <alignment horizontal="center" vertical="center"/>
    </xf>
    <xf numFmtId="10" fontId="1" fillId="2" borderId="54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22" xfId="0" applyBorder="1"/>
    <xf numFmtId="0" fontId="0" fillId="2" borderId="0" xfId="0" applyFill="1" applyBorder="1"/>
    <xf numFmtId="0" fontId="0" fillId="2" borderId="26" xfId="0" applyFill="1" applyBorder="1"/>
    <xf numFmtId="0" fontId="0" fillId="2" borderId="27" xfId="0" applyFill="1" applyBorder="1"/>
    <xf numFmtId="1" fontId="0" fillId="2" borderId="27" xfId="0" applyNumberFormat="1" applyFill="1" applyBorder="1"/>
    <xf numFmtId="0" fontId="0" fillId="2" borderId="28" xfId="0" applyFill="1" applyBorder="1"/>
    <xf numFmtId="17" fontId="0" fillId="0" borderId="0" xfId="0" applyNumberFormat="1"/>
    <xf numFmtId="0" fontId="0" fillId="16" borderId="22" xfId="0" applyFill="1" applyBorder="1" applyAlignment="1">
      <alignment horizontal="center"/>
    </xf>
    <xf numFmtId="0" fontId="11" fillId="16" borderId="18" xfId="0" applyFont="1" applyFill="1" applyBorder="1" applyAlignment="1">
      <alignment horizontal="center" vertical="center"/>
    </xf>
    <xf numFmtId="0" fontId="0" fillId="16" borderId="0" xfId="0" applyFill="1" applyBorder="1"/>
    <xf numFmtId="0" fontId="0" fillId="0" borderId="0" xfId="0" applyAlignment="1">
      <alignment wrapText="1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9" fontId="0" fillId="0" borderId="0" xfId="0" applyNumberFormat="1"/>
    <xf numFmtId="165" fontId="0" fillId="0" borderId="0" xfId="395" applyNumberFormat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0" applyNumberFormat="1"/>
    <xf numFmtId="0" fontId="0" fillId="0" borderId="0" xfId="0" applyBorder="1" applyAlignment="1">
      <alignment horizontal="center"/>
    </xf>
    <xf numFmtId="0" fontId="1" fillId="16" borderId="58" xfId="0" applyFont="1" applyFill="1" applyBorder="1" applyAlignment="1">
      <alignment vertical="center"/>
    </xf>
    <xf numFmtId="0" fontId="14" fillId="16" borderId="36" xfId="0" applyFont="1" applyFill="1" applyBorder="1" applyAlignment="1">
      <alignment vertical="center"/>
    </xf>
    <xf numFmtId="0" fontId="14" fillId="16" borderId="15" xfId="0" applyFont="1" applyFill="1" applyBorder="1" applyAlignment="1">
      <alignment vertical="center"/>
    </xf>
    <xf numFmtId="0" fontId="14" fillId="16" borderId="39" xfId="0" applyFont="1" applyFill="1" applyBorder="1" applyAlignment="1">
      <alignment vertical="center"/>
    </xf>
    <xf numFmtId="0" fontId="14" fillId="16" borderId="46" xfId="0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8" xfId="0" applyBorder="1"/>
    <xf numFmtId="0" fontId="1" fillId="0" borderId="0" xfId="0" applyFont="1" applyBorder="1" applyAlignment="1"/>
    <xf numFmtId="0" fontId="14" fillId="16" borderId="0" xfId="0" applyFont="1" applyFill="1" applyBorder="1" applyAlignment="1">
      <alignment vertical="center"/>
    </xf>
    <xf numFmtId="170" fontId="11" fillId="0" borderId="0" xfId="0" applyNumberFormat="1" applyFont="1" applyBorder="1"/>
    <xf numFmtId="0" fontId="11" fillId="16" borderId="18" xfId="0" applyFont="1" applyFill="1" applyBorder="1" applyAlignment="1">
      <alignment horizontal="center"/>
    </xf>
    <xf numFmtId="0" fontId="11" fillId="16" borderId="1" xfId="0" applyFont="1" applyFill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1" fillId="16" borderId="48" xfId="0" applyFont="1" applyFill="1" applyBorder="1"/>
    <xf numFmtId="0" fontId="1" fillId="16" borderId="50" xfId="0" applyFont="1" applyFill="1" applyBorder="1"/>
    <xf numFmtId="1" fontId="0" fillId="0" borderId="2" xfId="0" applyNumberFormat="1" applyBorder="1" applyAlignment="1">
      <alignment horizontal="center"/>
    </xf>
    <xf numFmtId="0" fontId="4" fillId="0" borderId="7" xfId="0" applyFont="1" applyBorder="1"/>
    <xf numFmtId="1" fontId="0" fillId="0" borderId="7" xfId="0" applyNumberFormat="1" applyBorder="1" applyAlignment="1">
      <alignment horizontal="center"/>
    </xf>
    <xf numFmtId="0" fontId="1" fillId="0" borderId="0" xfId="0" applyFont="1"/>
    <xf numFmtId="0" fontId="0" fillId="2" borderId="30" xfId="0" applyFill="1" applyBorder="1"/>
    <xf numFmtId="0" fontId="0" fillId="2" borderId="32" xfId="0" applyFill="1" applyBorder="1" applyAlignment="1"/>
    <xf numFmtId="0" fontId="0" fillId="2" borderId="31" xfId="0" applyFill="1" applyBorder="1" applyAlignment="1"/>
    <xf numFmtId="0" fontId="0" fillId="2" borderId="24" xfId="0" applyFill="1" applyBorder="1" applyAlignment="1"/>
    <xf numFmtId="10" fontId="1" fillId="0" borderId="0" xfId="2" applyNumberFormat="1" applyFont="1" applyBorder="1" applyAlignment="1">
      <alignment horizontal="center" vertical="center"/>
    </xf>
    <xf numFmtId="10" fontId="1" fillId="2" borderId="50" xfId="0" applyNumberFormat="1" applyFont="1" applyFill="1" applyBorder="1" applyAlignment="1">
      <alignment horizontal="center" vertical="center"/>
    </xf>
    <xf numFmtId="1" fontId="0" fillId="0" borderId="4" xfId="0" applyNumberFormat="1" applyBorder="1" applyAlignment="1">
      <alignment horizontal="center"/>
    </xf>
    <xf numFmtId="4" fontId="0" fillId="16" borderId="4" xfId="0" applyNumberFormat="1" applyFill="1" applyBorder="1" applyAlignment="1">
      <alignment horizontal="center"/>
    </xf>
    <xf numFmtId="1" fontId="0" fillId="16" borderId="4" xfId="0" applyNumberFormat="1" applyFill="1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2" borderId="23" xfId="0" applyFill="1" applyBorder="1"/>
    <xf numFmtId="0" fontId="0" fillId="0" borderId="4" xfId="0" applyBorder="1" applyAlignment="1">
      <alignment horizontal="center"/>
    </xf>
    <xf numFmtId="0" fontId="1" fillId="2" borderId="1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16" borderId="17" xfId="0" applyFill="1" applyBorder="1" applyAlignment="1">
      <alignment horizontal="center"/>
    </xf>
    <xf numFmtId="0" fontId="0" fillId="16" borderId="59" xfId="0" applyFill="1" applyBorder="1" applyAlignment="1">
      <alignment horizontal="center"/>
    </xf>
    <xf numFmtId="0" fontId="0" fillId="16" borderId="55" xfId="0" applyFill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0" fillId="16" borderId="44" xfId="0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10" fontId="1" fillId="0" borderId="12" xfId="2" applyNumberFormat="1" applyFont="1" applyBorder="1" applyAlignment="1">
      <alignment horizontal="center" vertical="center"/>
    </xf>
    <xf numFmtId="4" fontId="1" fillId="0" borderId="12" xfId="0" applyNumberFormat="1" applyFont="1" applyBorder="1" applyAlignment="1">
      <alignment horizontal="center" vertical="center"/>
    </xf>
    <xf numFmtId="10" fontId="1" fillId="2" borderId="49" xfId="0" applyNumberFormat="1" applyFont="1" applyFill="1" applyBorder="1" applyAlignment="1">
      <alignment horizontal="center" vertical="center"/>
    </xf>
    <xf numFmtId="0" fontId="0" fillId="16" borderId="16" xfId="0" applyFill="1" applyBorder="1" applyAlignment="1">
      <alignment horizontal="center"/>
    </xf>
    <xf numFmtId="43" fontId="1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3" fontId="0" fillId="0" borderId="9" xfId="0" applyNumberFormat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/>
    </xf>
    <xf numFmtId="9" fontId="1" fillId="2" borderId="5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" fontId="0" fillId="2" borderId="27" xfId="0" applyNumberFormat="1" applyFill="1" applyBorder="1"/>
    <xf numFmtId="0" fontId="0" fillId="2" borderId="48" xfId="0" applyFill="1" applyBorder="1"/>
    <xf numFmtId="49" fontId="0" fillId="17" borderId="1" xfId="0" applyNumberForma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 wrapText="1"/>
    </xf>
    <xf numFmtId="3" fontId="0" fillId="17" borderId="1" xfId="0" applyNumberFormat="1" applyFill="1" applyBorder="1" applyAlignment="1">
      <alignment horizontal="center" vertical="center" wrapText="1"/>
    </xf>
    <xf numFmtId="169" fontId="0" fillId="17" borderId="1" xfId="0" applyNumberFormat="1" applyFill="1" applyBorder="1" applyAlignment="1">
      <alignment horizontal="center" vertical="center" wrapText="1"/>
    </xf>
    <xf numFmtId="165" fontId="0" fillId="17" borderId="1" xfId="395" applyNumberFormat="1" applyFont="1" applyFill="1" applyBorder="1" applyAlignment="1">
      <alignment horizontal="center" vertical="center" wrapText="1"/>
    </xf>
    <xf numFmtId="44" fontId="11" fillId="17" borderId="17" xfId="0" applyNumberFormat="1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 wrapText="1"/>
    </xf>
    <xf numFmtId="165" fontId="0" fillId="0" borderId="0" xfId="395" applyNumberFormat="1" applyFont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3" fontId="0" fillId="2" borderId="1" xfId="0" applyNumberFormat="1" applyFill="1" applyBorder="1" applyAlignment="1">
      <alignment horizontal="center" vertical="center"/>
    </xf>
    <xf numFmtId="169" fontId="0" fillId="2" borderId="1" xfId="0" applyNumberFormat="1" applyFill="1" applyBorder="1" applyAlignment="1">
      <alignment vertical="center"/>
    </xf>
    <xf numFmtId="165" fontId="0" fillId="2" borderId="1" xfId="395" applyNumberFormat="1" applyFont="1" applyFill="1" applyBorder="1" applyAlignment="1">
      <alignment vertical="center"/>
    </xf>
    <xf numFmtId="44" fontId="0" fillId="2" borderId="17" xfId="0" applyNumberFormat="1" applyFill="1" applyBorder="1" applyAlignment="1">
      <alignment vertical="center"/>
    </xf>
    <xf numFmtId="2" fontId="0" fillId="0" borderId="0" xfId="0" applyNumberFormat="1" applyFill="1" applyBorder="1"/>
    <xf numFmtId="0" fontId="0" fillId="0" borderId="34" xfId="0" applyFill="1" applyBorder="1"/>
    <xf numFmtId="170" fontId="11" fillId="0" borderId="0" xfId="0" applyNumberFormat="1" applyFont="1" applyFill="1" applyBorder="1"/>
    <xf numFmtId="0" fontId="0" fillId="0" borderId="0" xfId="0" applyFill="1" applyBorder="1" applyAlignment="1">
      <alignment horizontal="right"/>
    </xf>
    <xf numFmtId="0" fontId="0" fillId="16" borderId="18" xfId="0" applyFill="1" applyBorder="1" applyAlignment="1">
      <alignment horizontal="center" vertical="center"/>
    </xf>
    <xf numFmtId="49" fontId="0" fillId="16" borderId="1" xfId="0" applyNumberFormat="1" applyFill="1" applyBorder="1" applyAlignment="1">
      <alignment horizontal="center" vertical="center"/>
    </xf>
    <xf numFmtId="0" fontId="0" fillId="16" borderId="1" xfId="0" applyFill="1" applyBorder="1" applyAlignment="1">
      <alignment vertical="center" wrapText="1"/>
    </xf>
    <xf numFmtId="0" fontId="0" fillId="16" borderId="1" xfId="0" applyFill="1" applyBorder="1" applyAlignment="1">
      <alignment horizontal="center" vertical="center"/>
    </xf>
    <xf numFmtId="4" fontId="0" fillId="16" borderId="1" xfId="0" applyNumberFormat="1" applyFill="1" applyBorder="1" applyAlignment="1">
      <alignment horizontal="center" vertical="center"/>
    </xf>
    <xf numFmtId="169" fontId="0" fillId="16" borderId="1" xfId="0" applyNumberFormat="1" applyFill="1" applyBorder="1" applyAlignment="1">
      <alignment vertical="center"/>
    </xf>
    <xf numFmtId="165" fontId="0" fillId="16" borderId="1" xfId="395" applyNumberFormat="1" applyFont="1" applyFill="1" applyBorder="1" applyAlignment="1">
      <alignment vertical="center"/>
    </xf>
    <xf numFmtId="44" fontId="0" fillId="16" borderId="17" xfId="0" applyNumberFormat="1" applyFill="1" applyBorder="1" applyAlignment="1">
      <alignment vertical="center"/>
    </xf>
    <xf numFmtId="0" fontId="0" fillId="16" borderId="19" xfId="0" applyFill="1" applyBorder="1"/>
    <xf numFmtId="49" fontId="0" fillId="16" borderId="20" xfId="0" applyNumberFormat="1" applyFill="1" applyBorder="1" applyAlignment="1">
      <alignment horizontal="center"/>
    </xf>
    <xf numFmtId="0" fontId="0" fillId="16" borderId="20" xfId="0" applyFill="1" applyBorder="1" applyAlignment="1">
      <alignment horizontal="center"/>
    </xf>
    <xf numFmtId="3" fontId="0" fillId="16" borderId="20" xfId="0" applyNumberFormat="1" applyFill="1" applyBorder="1" applyAlignment="1">
      <alignment horizontal="center"/>
    </xf>
    <xf numFmtId="169" fontId="0" fillId="16" borderId="20" xfId="0" applyNumberFormat="1" applyFill="1" applyBorder="1"/>
    <xf numFmtId="165" fontId="0" fillId="16" borderId="20" xfId="395" applyNumberFormat="1" applyFont="1" applyFill="1" applyBorder="1" applyAlignment="1">
      <alignment horizontal="center"/>
    </xf>
    <xf numFmtId="44" fontId="1" fillId="16" borderId="55" xfId="0" applyNumberFormat="1" applyFont="1" applyFill="1" applyBorder="1"/>
    <xf numFmtId="0" fontId="1" fillId="16" borderId="1" xfId="0" applyFont="1" applyFill="1" applyBorder="1" applyAlignment="1">
      <alignment vertical="center" wrapText="1"/>
    </xf>
    <xf numFmtId="0" fontId="1" fillId="16" borderId="20" xfId="0" applyFont="1" applyFill="1" applyBorder="1" applyAlignment="1">
      <alignment wrapText="1"/>
    </xf>
    <xf numFmtId="4" fontId="3" fillId="16" borderId="1" xfId="0" applyNumberFormat="1" applyFont="1" applyFill="1" applyBorder="1" applyAlignment="1">
      <alignment horizontal="center" vertical="center"/>
    </xf>
    <xf numFmtId="169" fontId="3" fillId="16" borderId="1" xfId="0" applyNumberFormat="1" applyFont="1" applyFill="1" applyBorder="1" applyAlignment="1">
      <alignment vertical="center"/>
    </xf>
    <xf numFmtId="4" fontId="0" fillId="16" borderId="1" xfId="0" applyNumberFormat="1" applyFont="1" applyFill="1" applyBorder="1" applyAlignment="1">
      <alignment horizontal="center" vertical="center"/>
    </xf>
    <xf numFmtId="169" fontId="0" fillId="16" borderId="1" xfId="0" applyNumberFormat="1" applyFont="1" applyFill="1" applyBorder="1" applyAlignment="1">
      <alignment vertical="center"/>
    </xf>
    <xf numFmtId="0" fontId="3" fillId="16" borderId="1" xfId="0" applyFont="1" applyFill="1" applyBorder="1" applyAlignment="1">
      <alignment horizontal="center" vertical="center"/>
    </xf>
    <xf numFmtId="0" fontId="3" fillId="16" borderId="1" xfId="0" applyFont="1" applyFill="1" applyBorder="1" applyAlignment="1">
      <alignment horizontal="left" vertical="center" wrapText="1"/>
    </xf>
    <xf numFmtId="0" fontId="1" fillId="2" borderId="18" xfId="0" applyFont="1" applyFill="1" applyBorder="1" applyAlignment="1">
      <alignment horizontal="center" vertical="center"/>
    </xf>
    <xf numFmtId="1" fontId="1" fillId="16" borderId="50" xfId="0" applyNumberFormat="1" applyFont="1" applyFill="1" applyBorder="1" applyAlignment="1">
      <alignment horizontal="center"/>
    </xf>
    <xf numFmtId="0" fontId="1" fillId="16" borderId="0" xfId="0" applyFont="1" applyFill="1" applyBorder="1"/>
    <xf numFmtId="49" fontId="1" fillId="16" borderId="0" xfId="0" applyNumberFormat="1" applyFont="1" applyFill="1" applyBorder="1" applyAlignment="1">
      <alignment horizontal="center" vertical="center"/>
    </xf>
    <xf numFmtId="0" fontId="1" fillId="16" borderId="0" xfId="0" applyFont="1" applyFill="1"/>
    <xf numFmtId="0" fontId="0" fillId="16" borderId="0" xfId="0" applyFill="1"/>
    <xf numFmtId="0" fontId="11" fillId="16" borderId="0" xfId="0" applyFont="1" applyFill="1" applyBorder="1"/>
    <xf numFmtId="0" fontId="1" fillId="16" borderId="0" xfId="0" applyFont="1" applyFill="1" applyBorder="1" applyAlignment="1">
      <alignment vertical="center"/>
    </xf>
    <xf numFmtId="0" fontId="1" fillId="16" borderId="0" xfId="0" applyFont="1" applyFill="1" applyBorder="1" applyAlignment="1">
      <alignment vertical="center" wrapText="1"/>
    </xf>
    <xf numFmtId="0" fontId="0" fillId="16" borderId="0" xfId="0" applyFill="1" applyBorder="1" applyAlignment="1">
      <alignment vertical="center"/>
    </xf>
    <xf numFmtId="49" fontId="0" fillId="16" borderId="0" xfId="0" applyNumberFormat="1" applyFill="1" applyBorder="1" applyAlignment="1">
      <alignment horizontal="center" vertical="center"/>
    </xf>
    <xf numFmtId="0" fontId="0" fillId="16" borderId="0" xfId="0" applyFill="1" applyBorder="1" applyAlignment="1">
      <alignment vertical="center" wrapText="1"/>
    </xf>
    <xf numFmtId="170" fontId="11" fillId="16" borderId="0" xfId="0" applyNumberFormat="1" applyFont="1" applyFill="1" applyBorder="1"/>
    <xf numFmtId="2" fontId="0" fillId="16" borderId="0" xfId="0" applyNumberFormat="1" applyFill="1" applyBorder="1"/>
    <xf numFmtId="0" fontId="0" fillId="16" borderId="0" xfId="0" applyFill="1" applyBorder="1" applyAlignment="1">
      <alignment horizontal="right"/>
    </xf>
    <xf numFmtId="0" fontId="12" fillId="16" borderId="0" xfId="0" applyFont="1" applyFill="1" applyBorder="1"/>
    <xf numFmtId="171" fontId="0" fillId="16" borderId="0" xfId="0" applyNumberFormat="1" applyFont="1" applyFill="1" applyBorder="1"/>
    <xf numFmtId="170" fontId="0" fillId="16" borderId="0" xfId="0" applyNumberFormat="1" applyFill="1" applyBorder="1"/>
    <xf numFmtId="0" fontId="0" fillId="0" borderId="2" xfId="0" applyBorder="1"/>
    <xf numFmtId="10" fontId="0" fillId="0" borderId="0" xfId="0" applyNumberFormat="1" applyAlignment="1">
      <alignment horizontal="right"/>
    </xf>
    <xf numFmtId="9" fontId="0" fillId="0" borderId="0" xfId="0" applyNumberFormat="1" applyAlignment="1">
      <alignment horizontal="right"/>
    </xf>
    <xf numFmtId="0" fontId="0" fillId="0" borderId="26" xfId="0" applyBorder="1"/>
    <xf numFmtId="0" fontId="0" fillId="0" borderId="27" xfId="0" applyBorder="1"/>
    <xf numFmtId="0" fontId="0" fillId="0" borderId="62" xfId="0" applyBorder="1"/>
    <xf numFmtId="10" fontId="0" fillId="0" borderId="27" xfId="0" applyNumberFormat="1" applyBorder="1" applyAlignment="1">
      <alignment horizontal="right"/>
    </xf>
    <xf numFmtId="172" fontId="1" fillId="0" borderId="28" xfId="0" applyNumberFormat="1" applyFont="1" applyBorder="1" applyAlignment="1">
      <alignment horizontal="right"/>
    </xf>
    <xf numFmtId="4" fontId="1" fillId="2" borderId="41" xfId="0" applyNumberFormat="1" applyFont="1" applyFill="1" applyBorder="1"/>
    <xf numFmtId="4" fontId="0" fillId="2" borderId="41" xfId="0" applyNumberFormat="1" applyFill="1" applyBorder="1"/>
    <xf numFmtId="0" fontId="0" fillId="2" borderId="8" xfId="0" applyFill="1" applyBorder="1"/>
    <xf numFmtId="1" fontId="0" fillId="2" borderId="9" xfId="0" applyNumberFormat="1" applyFill="1" applyBorder="1"/>
    <xf numFmtId="1" fontId="1" fillId="2" borderId="28" xfId="0" applyNumberFormat="1" applyFont="1" applyFill="1" applyBorder="1"/>
    <xf numFmtId="9" fontId="0" fillId="0" borderId="0" xfId="2" applyFont="1" applyBorder="1" applyAlignment="1">
      <alignment horizontal="center" vertical="center"/>
    </xf>
    <xf numFmtId="43" fontId="1" fillId="0" borderId="0" xfId="0" applyNumberFormat="1" applyFont="1" applyBorder="1" applyAlignment="1">
      <alignment horizontal="center" vertical="center"/>
    </xf>
    <xf numFmtId="4" fontId="1" fillId="0" borderId="57" xfId="0" applyNumberFormat="1" applyFont="1" applyBorder="1" applyAlignment="1">
      <alignment horizontal="center" vertical="center"/>
    </xf>
    <xf numFmtId="4" fontId="1" fillId="0" borderId="61" xfId="0" applyNumberFormat="1" applyFont="1" applyBorder="1" applyAlignment="1">
      <alignment horizontal="center" vertical="center"/>
    </xf>
    <xf numFmtId="10" fontId="1" fillId="0" borderId="41" xfId="2" applyNumberFormat="1" applyFont="1" applyBorder="1" applyAlignment="1">
      <alignment horizontal="center" vertical="center"/>
    </xf>
    <xf numFmtId="0" fontId="0" fillId="0" borderId="8" xfId="0" applyBorder="1" applyAlignment="1">
      <alignment horizontal="right"/>
    </xf>
    <xf numFmtId="4" fontId="1" fillId="0" borderId="10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right"/>
    </xf>
    <xf numFmtId="0" fontId="1" fillId="0" borderId="11" xfId="0" applyFont="1" applyBorder="1" applyAlignment="1">
      <alignment horizontal="right"/>
    </xf>
    <xf numFmtId="0" fontId="1" fillId="2" borderId="48" xfId="0" applyFont="1" applyFill="1" applyBorder="1" applyAlignment="1">
      <alignment horizontal="right"/>
    </xf>
    <xf numFmtId="0" fontId="1" fillId="0" borderId="8" xfId="0" applyFont="1" applyBorder="1" applyAlignment="1">
      <alignment horizontal="center" vertical="center"/>
    </xf>
    <xf numFmtId="10" fontId="1" fillId="0" borderId="11" xfId="2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0" fontId="1" fillId="2" borderId="48" xfId="0" applyNumberFormat="1" applyFont="1" applyFill="1" applyBorder="1" applyAlignment="1">
      <alignment horizontal="center" vertical="center"/>
    </xf>
    <xf numFmtId="10" fontId="1" fillId="2" borderId="41" xfId="0" applyNumberFormat="1" applyFont="1" applyFill="1" applyBorder="1" applyAlignment="1">
      <alignment horizontal="center" vertical="center"/>
    </xf>
    <xf numFmtId="10" fontId="1" fillId="0" borderId="28" xfId="2" applyNumberFormat="1" applyFont="1" applyBorder="1" applyAlignment="1">
      <alignment horizontal="center" vertical="center"/>
    </xf>
    <xf numFmtId="10" fontId="1" fillId="2" borderId="28" xfId="0" applyNumberFormat="1" applyFont="1" applyFill="1" applyBorder="1" applyAlignment="1">
      <alignment horizontal="center" vertical="center"/>
    </xf>
    <xf numFmtId="9" fontId="12" fillId="16" borderId="2" xfId="0" applyNumberFormat="1" applyFont="1" applyFill="1" applyBorder="1" applyAlignment="1">
      <alignment horizontal="center"/>
    </xf>
    <xf numFmtId="0" fontId="12" fillId="16" borderId="2" xfId="0" applyFont="1" applyFill="1" applyBorder="1"/>
    <xf numFmtId="0" fontId="0" fillId="0" borderId="6" xfId="0" applyBorder="1"/>
    <xf numFmtId="4" fontId="1" fillId="0" borderId="7" xfId="2" applyNumberFormat="1" applyFont="1" applyFill="1" applyBorder="1" applyAlignment="1">
      <alignment horizontal="center"/>
    </xf>
    <xf numFmtId="0" fontId="12" fillId="18" borderId="1" xfId="0" applyFont="1" applyFill="1" applyBorder="1" applyAlignment="1">
      <alignment horizontal="center"/>
    </xf>
    <xf numFmtId="1" fontId="12" fillId="18" borderId="2" xfId="0" applyNumberFormat="1" applyFont="1" applyFill="1" applyBorder="1" applyAlignment="1">
      <alignment horizontal="center"/>
    </xf>
    <xf numFmtId="4" fontId="1" fillId="18" borderId="2" xfId="0" applyNumberFormat="1" applyFont="1" applyFill="1" applyBorder="1" applyAlignment="1">
      <alignment horizontal="center"/>
    </xf>
    <xf numFmtId="0" fontId="0" fillId="18" borderId="0" xfId="0" applyFill="1"/>
    <xf numFmtId="0" fontId="12" fillId="18" borderId="18" xfId="0" applyFont="1" applyFill="1" applyBorder="1" applyAlignment="1">
      <alignment horizontal="center"/>
    </xf>
    <xf numFmtId="0" fontId="12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1" fontId="11" fillId="18" borderId="2" xfId="0" applyNumberFormat="1" applyFont="1" applyFill="1" applyBorder="1" applyAlignment="1">
      <alignment horizontal="center"/>
    </xf>
    <xf numFmtId="0" fontId="1" fillId="18" borderId="0" xfId="0" applyFont="1" applyFill="1"/>
    <xf numFmtId="10" fontId="12" fillId="18" borderId="1" xfId="2" applyNumberFormat="1" applyFont="1" applyFill="1" applyBorder="1" applyAlignment="1">
      <alignment horizontal="right" vertical="center"/>
    </xf>
    <xf numFmtId="4" fontId="0" fillId="18" borderId="0" xfId="0" applyNumberFormat="1" applyFill="1"/>
    <xf numFmtId="0" fontId="20" fillId="16" borderId="1" xfId="0" applyFont="1" applyFill="1" applyBorder="1" applyAlignment="1">
      <alignment horizontal="center"/>
    </xf>
    <xf numFmtId="1" fontId="20" fillId="16" borderId="2" xfId="0" applyNumberFormat="1" applyFont="1" applyFill="1" applyBorder="1" applyAlignment="1">
      <alignment horizontal="center"/>
    </xf>
    <xf numFmtId="0" fontId="7" fillId="0" borderId="0" xfId="0" applyFont="1"/>
    <xf numFmtId="1" fontId="11" fillId="16" borderId="2" xfId="0" applyNumberFormat="1" applyFont="1" applyFill="1" applyBorder="1" applyAlignment="1">
      <alignment horizontal="center"/>
    </xf>
    <xf numFmtId="0" fontId="21" fillId="16" borderId="18" xfId="0" applyFont="1" applyFill="1" applyBorder="1" applyAlignment="1">
      <alignment horizontal="center"/>
    </xf>
    <xf numFmtId="0" fontId="21" fillId="16" borderId="1" xfId="0" applyFont="1" applyFill="1" applyBorder="1" applyAlignment="1">
      <alignment horizontal="center"/>
    </xf>
    <xf numFmtId="1" fontId="21" fillId="16" borderId="2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1" fillId="19" borderId="18" xfId="0" applyFont="1" applyFill="1" applyBorder="1" applyAlignment="1">
      <alignment horizontal="center"/>
    </xf>
    <xf numFmtId="1" fontId="11" fillId="19" borderId="2" xfId="0" applyNumberFormat="1" applyFont="1" applyFill="1" applyBorder="1" applyAlignment="1">
      <alignment horizontal="center"/>
    </xf>
    <xf numFmtId="0" fontId="1" fillId="19" borderId="0" xfId="0" applyFont="1" applyFill="1"/>
    <xf numFmtId="4" fontId="19" fillId="18" borderId="18" xfId="0" applyNumberFormat="1" applyFont="1" applyFill="1" applyBorder="1" applyAlignment="1">
      <alignment horizontal="center"/>
    </xf>
    <xf numFmtId="0" fontId="1" fillId="18" borderId="17" xfId="0" applyFont="1" applyFill="1" applyBorder="1" applyAlignment="1">
      <alignment horizontal="center"/>
    </xf>
    <xf numFmtId="4" fontId="24" fillId="18" borderId="18" xfId="0" applyNumberFormat="1" applyFont="1" applyFill="1" applyBorder="1" applyAlignment="1">
      <alignment horizontal="center"/>
    </xf>
    <xf numFmtId="4" fontId="24" fillId="18" borderId="2" xfId="0" applyNumberFormat="1" applyFont="1" applyFill="1" applyBorder="1" applyAlignment="1">
      <alignment horizontal="center"/>
    </xf>
    <xf numFmtId="0" fontId="24" fillId="18" borderId="17" xfId="0" applyFont="1" applyFill="1" applyBorder="1" applyAlignment="1">
      <alignment horizontal="center"/>
    </xf>
    <xf numFmtId="2" fontId="11" fillId="18" borderId="2" xfId="2" applyNumberFormat="1" applyFont="1" applyFill="1" applyBorder="1" applyAlignment="1">
      <alignment horizontal="center" vertical="center"/>
    </xf>
    <xf numFmtId="10" fontId="11" fillId="18" borderId="1" xfId="2" applyNumberFormat="1" applyFont="1" applyFill="1" applyBorder="1" applyAlignment="1">
      <alignment horizontal="center" vertical="center"/>
    </xf>
    <xf numFmtId="0" fontId="1" fillId="18" borderId="0" xfId="0" applyFont="1" applyFill="1" applyAlignment="1">
      <alignment horizontal="center"/>
    </xf>
    <xf numFmtId="0" fontId="25" fillId="18" borderId="1" xfId="0" applyFont="1" applyFill="1" applyBorder="1"/>
    <xf numFmtId="0" fontId="25" fillId="18" borderId="1" xfId="0" applyFont="1" applyFill="1" applyBorder="1" applyAlignment="1">
      <alignment horizontal="center"/>
    </xf>
    <xf numFmtId="1" fontId="25" fillId="18" borderId="2" xfId="0" applyNumberFormat="1" applyFont="1" applyFill="1" applyBorder="1" applyAlignment="1">
      <alignment horizontal="center"/>
    </xf>
    <xf numFmtId="0" fontId="24" fillId="18" borderId="0" xfId="0" applyFont="1" applyFill="1"/>
    <xf numFmtId="0" fontId="24" fillId="18" borderId="0" xfId="0" applyFont="1" applyFill="1" applyAlignment="1">
      <alignment horizontal="center"/>
    </xf>
    <xf numFmtId="2" fontId="25" fillId="18" borderId="2" xfId="2" applyNumberFormat="1" applyFont="1" applyFill="1" applyBorder="1" applyAlignment="1">
      <alignment horizontal="center" vertical="center"/>
    </xf>
    <xf numFmtId="10" fontId="25" fillId="18" borderId="1" xfId="2" applyNumberFormat="1" applyFont="1" applyFill="1" applyBorder="1" applyAlignment="1">
      <alignment horizontal="center" vertical="center"/>
    </xf>
    <xf numFmtId="0" fontId="21" fillId="20" borderId="18" xfId="0" applyFont="1" applyFill="1" applyBorder="1" applyAlignment="1">
      <alignment horizontal="center"/>
    </xf>
    <xf numFmtId="0" fontId="21" fillId="20" borderId="1" xfId="0" applyFont="1" applyFill="1" applyBorder="1" applyAlignment="1">
      <alignment horizontal="center"/>
    </xf>
    <xf numFmtId="1" fontId="21" fillId="20" borderId="2" xfId="0" applyNumberFormat="1" applyFont="1" applyFill="1" applyBorder="1" applyAlignment="1">
      <alignment horizontal="center"/>
    </xf>
    <xf numFmtId="0" fontId="19" fillId="20" borderId="0" xfId="0" applyFont="1" applyFill="1"/>
    <xf numFmtId="2" fontId="11" fillId="16" borderId="1" xfId="0" applyNumberFormat="1" applyFont="1" applyFill="1" applyBorder="1"/>
    <xf numFmtId="9" fontId="12" fillId="21" borderId="1" xfId="0" applyNumberFormat="1" applyFont="1" applyFill="1" applyBorder="1" applyAlignment="1">
      <alignment horizontal="center"/>
    </xf>
    <xf numFmtId="0" fontId="0" fillId="21" borderId="0" xfId="0" applyFill="1"/>
    <xf numFmtId="0" fontId="0" fillId="0" borderId="9" xfId="0" applyBorder="1" applyAlignment="1">
      <alignment horizontal="center"/>
    </xf>
    <xf numFmtId="0" fontId="1" fillId="16" borderId="50" xfId="0" applyFont="1" applyFill="1" applyBorder="1" applyAlignment="1">
      <alignment horizontal="center"/>
    </xf>
    <xf numFmtId="4" fontId="0" fillId="0" borderId="39" xfId="0" applyNumberFormat="1" applyBorder="1" applyAlignment="1">
      <alignment horizontal="center"/>
    </xf>
    <xf numFmtId="4" fontId="0" fillId="0" borderId="35" xfId="0" applyNumberForma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16" borderId="49" xfId="0" applyFont="1" applyFill="1" applyBorder="1" applyAlignment="1">
      <alignment horizontal="center"/>
    </xf>
    <xf numFmtId="0" fontId="0" fillId="0" borderId="50" xfId="0" applyBorder="1" applyAlignment="1">
      <alignment horizontal="center"/>
    </xf>
    <xf numFmtId="4" fontId="7" fillId="0" borderId="1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43" fontId="1" fillId="0" borderId="17" xfId="0" applyNumberFormat="1" applyFont="1" applyBorder="1" applyAlignment="1">
      <alignment horizontal="right"/>
    </xf>
    <xf numFmtId="43" fontId="1" fillId="0" borderId="14" xfId="0" applyNumberFormat="1" applyFont="1" applyBorder="1" applyAlignment="1">
      <alignment horizontal="right"/>
    </xf>
    <xf numFmtId="43" fontId="1" fillId="0" borderId="25" xfId="0" applyNumberFormat="1" applyFont="1" applyBorder="1"/>
    <xf numFmtId="0" fontId="0" fillId="0" borderId="0" xfId="0"/>
    <xf numFmtId="43" fontId="0" fillId="0" borderId="0" xfId="0" applyNumberFormat="1"/>
    <xf numFmtId="4" fontId="0" fillId="0" borderId="0" xfId="0" applyNumberFormat="1" applyBorder="1"/>
    <xf numFmtId="4" fontId="1" fillId="0" borderId="0" xfId="0" applyNumberFormat="1" applyFont="1" applyBorder="1" applyAlignment="1">
      <alignment wrapText="1"/>
    </xf>
    <xf numFmtId="0" fontId="0" fillId="22" borderId="0" xfId="0" applyFill="1"/>
    <xf numFmtId="0" fontId="12" fillId="22" borderId="1" xfId="0" applyFont="1" applyFill="1" applyBorder="1"/>
    <xf numFmtId="10" fontId="12" fillId="22" borderId="1" xfId="2" applyNumberFormat="1" applyFont="1" applyFill="1" applyBorder="1" applyAlignment="1">
      <alignment horizontal="right" vertical="center"/>
    </xf>
    <xf numFmtId="2" fontId="12" fillId="22" borderId="2" xfId="2" applyNumberFormat="1" applyFont="1" applyFill="1" applyBorder="1" applyAlignment="1">
      <alignment horizontal="center" vertical="center"/>
    </xf>
    <xf numFmtId="4" fontId="1" fillId="22" borderId="2" xfId="2" applyNumberFormat="1" applyFont="1" applyFill="1" applyBorder="1" applyAlignment="1">
      <alignment horizontal="center"/>
    </xf>
    <xf numFmtId="0" fontId="12" fillId="19" borderId="18" xfId="0" applyFont="1" applyFill="1" applyBorder="1" applyAlignment="1">
      <alignment horizontal="center"/>
    </xf>
    <xf numFmtId="0" fontId="12" fillId="19" borderId="1" xfId="0" applyFont="1" applyFill="1" applyBorder="1" applyAlignment="1">
      <alignment horizontal="center"/>
    </xf>
    <xf numFmtId="1" fontId="12" fillId="19" borderId="2" xfId="0" applyNumberFormat="1" applyFont="1" applyFill="1" applyBorder="1" applyAlignment="1">
      <alignment horizontal="center"/>
    </xf>
    <xf numFmtId="0" fontId="0" fillId="19" borderId="0" xfId="0" applyFill="1"/>
    <xf numFmtId="4" fontId="0" fillId="19" borderId="0" xfId="0" applyNumberFormat="1" applyFill="1"/>
    <xf numFmtId="0" fontId="12" fillId="20" borderId="18" xfId="0" applyFont="1" applyFill="1" applyBorder="1" applyAlignment="1">
      <alignment horizontal="center"/>
    </xf>
    <xf numFmtId="0" fontId="11" fillId="20" borderId="1" xfId="0" applyFont="1" applyFill="1" applyBorder="1"/>
    <xf numFmtId="0" fontId="12" fillId="20" borderId="1" xfId="0" applyFont="1" applyFill="1" applyBorder="1" applyAlignment="1">
      <alignment horizontal="center"/>
    </xf>
    <xf numFmtId="1" fontId="12" fillId="20" borderId="2" xfId="0" applyNumberFormat="1" applyFont="1" applyFill="1" applyBorder="1" applyAlignment="1">
      <alignment horizontal="center"/>
    </xf>
    <xf numFmtId="0" fontId="0" fillId="20" borderId="0" xfId="0" applyFill="1"/>
    <xf numFmtId="4" fontId="0" fillId="20" borderId="0" xfId="0" applyNumberFormat="1" applyFill="1"/>
    <xf numFmtId="9" fontId="11" fillId="21" borderId="1" xfId="0" applyNumberFormat="1" applyFont="1" applyFill="1" applyBorder="1" applyAlignment="1">
      <alignment horizontal="center"/>
    </xf>
    <xf numFmtId="0" fontId="0" fillId="18" borderId="0" xfId="0" applyFont="1" applyFill="1"/>
    <xf numFmtId="0" fontId="19" fillId="0" borderId="0" xfId="0" applyFont="1"/>
    <xf numFmtId="0" fontId="12" fillId="22" borderId="18" xfId="0" applyFont="1" applyFill="1" applyBorder="1" applyAlignment="1">
      <alignment horizontal="center"/>
    </xf>
    <xf numFmtId="4" fontId="0" fillId="22" borderId="0" xfId="0" applyNumberFormat="1" applyFill="1"/>
    <xf numFmtId="0" fontId="11" fillId="23" borderId="2" xfId="0" applyFont="1" applyFill="1" applyBorder="1"/>
    <xf numFmtId="43" fontId="1" fillId="23" borderId="17" xfId="0" applyNumberFormat="1" applyFont="1" applyFill="1" applyBorder="1"/>
    <xf numFmtId="0" fontId="11" fillId="23" borderId="18" xfId="0" applyFont="1" applyFill="1" applyBorder="1" applyAlignment="1">
      <alignment horizontal="center"/>
    </xf>
    <xf numFmtId="0" fontId="11" fillId="23" borderId="1" xfId="0" applyFont="1" applyFill="1" applyBorder="1"/>
    <xf numFmtId="0" fontId="1" fillId="23" borderId="1" xfId="0" applyFont="1" applyFill="1" applyBorder="1"/>
    <xf numFmtId="0" fontId="7" fillId="20" borderId="0" xfId="0" applyFont="1" applyFill="1"/>
    <xf numFmtId="10" fontId="11" fillId="16" borderId="1" xfId="2" applyNumberFormat="1" applyFont="1" applyFill="1" applyBorder="1" applyAlignment="1">
      <alignment horizontal="right" vertical="center"/>
    </xf>
    <xf numFmtId="2" fontId="11" fillId="16" borderId="2" xfId="2" applyNumberFormat="1" applyFont="1" applyFill="1" applyBorder="1" applyAlignment="1">
      <alignment horizontal="center" vertical="center"/>
    </xf>
    <xf numFmtId="0" fontId="12" fillId="21" borderId="1" xfId="0" applyFont="1" applyFill="1" applyBorder="1"/>
    <xf numFmtId="0" fontId="0" fillId="0" borderId="0" xfId="0"/>
    <xf numFmtId="0" fontId="12" fillId="16" borderId="1" xfId="0" applyFont="1" applyFill="1" applyBorder="1" applyAlignment="1">
      <alignment horizontal="left"/>
    </xf>
    <xf numFmtId="0" fontId="21" fillId="16" borderId="1" xfId="0" applyFont="1" applyFill="1" applyBorder="1"/>
    <xf numFmtId="0" fontId="11" fillId="19" borderId="1" xfId="0" applyFont="1" applyFill="1" applyBorder="1"/>
    <xf numFmtId="0" fontId="0" fillId="21" borderId="0" xfId="0" applyFill="1"/>
    <xf numFmtId="0" fontId="20" fillId="16" borderId="18" xfId="0" applyFont="1" applyFill="1" applyBorder="1" applyAlignment="1">
      <alignment horizontal="center" vertical="center"/>
    </xf>
    <xf numFmtId="10" fontId="20" fillId="16" borderId="1" xfId="2" applyNumberFormat="1" applyFont="1" applyFill="1" applyBorder="1" applyAlignment="1">
      <alignment horizontal="right" vertical="center"/>
    </xf>
    <xf numFmtId="2" fontId="20" fillId="16" borderId="2" xfId="2" applyNumberFormat="1" applyFont="1" applyFill="1" applyBorder="1" applyAlignment="1">
      <alignment horizontal="center" vertical="center"/>
    </xf>
    <xf numFmtId="4" fontId="1" fillId="22" borderId="18" xfId="1" applyNumberFormat="1" applyFont="1" applyFill="1" applyBorder="1" applyAlignment="1">
      <alignment horizontal="center"/>
    </xf>
    <xf numFmtId="4" fontId="0" fillId="0" borderId="2" xfId="0" applyNumberFormat="1" applyBorder="1" applyAlignment="1">
      <alignment horizontal="center"/>
    </xf>
    <xf numFmtId="0" fontId="1" fillId="22" borderId="17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57" xfId="0" applyFont="1" applyBorder="1" applyAlignment="1">
      <alignment horizontal="center"/>
    </xf>
    <xf numFmtId="0" fontId="1" fillId="0" borderId="6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1" fillId="20" borderId="1" xfId="0" applyFont="1" applyFill="1" applyBorder="1"/>
    <xf numFmtId="0" fontId="20" fillId="20" borderId="18" xfId="0" applyFont="1" applyFill="1" applyBorder="1" applyAlignment="1">
      <alignment horizontal="center"/>
    </xf>
    <xf numFmtId="0" fontId="20" fillId="20" borderId="1" xfId="0" applyFont="1" applyFill="1" applyBorder="1" applyAlignment="1">
      <alignment horizontal="center"/>
    </xf>
    <xf numFmtId="1" fontId="20" fillId="20" borderId="2" xfId="0" applyNumberFormat="1" applyFont="1" applyFill="1" applyBorder="1" applyAlignment="1">
      <alignment horizontal="center"/>
    </xf>
    <xf numFmtId="0" fontId="7" fillId="20" borderId="0" xfId="0" applyFont="1" applyFill="1"/>
    <xf numFmtId="4" fontId="7" fillId="20" borderId="0" xfId="0" applyNumberFormat="1" applyFont="1" applyFill="1"/>
    <xf numFmtId="0" fontId="21" fillId="22" borderId="1" xfId="0" applyFont="1" applyFill="1" applyBorder="1"/>
    <xf numFmtId="0" fontId="20" fillId="22" borderId="1" xfId="0" applyFont="1" applyFill="1" applyBorder="1" applyAlignment="1">
      <alignment horizontal="center"/>
    </xf>
    <xf numFmtId="1" fontId="20" fillId="22" borderId="2" xfId="0" applyNumberFormat="1" applyFont="1" applyFill="1" applyBorder="1" applyAlignment="1">
      <alignment horizontal="center"/>
    </xf>
    <xf numFmtId="0" fontId="7" fillId="22" borderId="0" xfId="0" applyFont="1" applyFill="1"/>
    <xf numFmtId="0" fontId="1" fillId="0" borderId="2" xfId="0" applyFont="1" applyBorder="1" applyAlignment="1">
      <alignment horizontal="center"/>
    </xf>
    <xf numFmtId="1" fontId="20" fillId="0" borderId="2" xfId="0" applyNumberFormat="1" applyFont="1" applyFill="1" applyBorder="1" applyAlignment="1">
      <alignment horizontal="center"/>
    </xf>
    <xf numFmtId="4" fontId="19" fillId="0" borderId="3" xfId="0" applyNumberFormat="1" applyFont="1" applyFill="1" applyBorder="1" applyAlignment="1">
      <alignment horizontal="center"/>
    </xf>
    <xf numFmtId="1" fontId="11" fillId="22" borderId="2" xfId="0" applyNumberFormat="1" applyFont="1" applyFill="1" applyBorder="1" applyAlignment="1">
      <alignment horizontal="center"/>
    </xf>
    <xf numFmtId="0" fontId="1" fillId="22" borderId="0" xfId="0" applyFont="1" applyFill="1"/>
    <xf numFmtId="43" fontId="1" fillId="0" borderId="57" xfId="0" applyNumberFormat="1" applyFont="1" applyBorder="1" applyAlignment="1">
      <alignment horizontal="center" vertical="center"/>
    </xf>
    <xf numFmtId="43" fontId="1" fillId="0" borderId="10" xfId="0" applyNumberFormat="1" applyFont="1" applyBorder="1" applyAlignment="1">
      <alignment horizontal="center" vertical="center"/>
    </xf>
    <xf numFmtId="10" fontId="0" fillId="0" borderId="0" xfId="0" applyNumberFormat="1"/>
    <xf numFmtId="43" fontId="0" fillId="0" borderId="0" xfId="2" applyNumberFormat="1" applyFont="1"/>
    <xf numFmtId="0" fontId="12" fillId="21" borderId="18" xfId="0" applyFont="1" applyFill="1" applyBorder="1" applyAlignment="1">
      <alignment horizontal="center"/>
    </xf>
    <xf numFmtId="4" fontId="0" fillId="21" borderId="0" xfId="0" applyNumberFormat="1" applyFill="1"/>
    <xf numFmtId="4" fontId="19" fillId="0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16" borderId="17" xfId="0" applyFont="1" applyFill="1" applyBorder="1" applyAlignment="1">
      <alignment horizontal="center"/>
    </xf>
    <xf numFmtId="0" fontId="7" fillId="16" borderId="14" xfId="0" applyFont="1" applyFill="1" applyBorder="1" applyAlignment="1">
      <alignment horizontal="center"/>
    </xf>
    <xf numFmtId="0" fontId="25" fillId="18" borderId="18" xfId="0" applyFont="1" applyFill="1" applyBorder="1" applyAlignment="1">
      <alignment horizontal="center" vertical="center"/>
    </xf>
    <xf numFmtId="0" fontId="11" fillId="18" borderId="18" xfId="0" applyFont="1" applyFill="1" applyBorder="1" applyAlignment="1">
      <alignment horizontal="center"/>
    </xf>
    <xf numFmtId="0" fontId="25" fillId="18" borderId="18" xfId="0" applyFont="1" applyFill="1" applyBorder="1" applyAlignment="1">
      <alignment horizontal="center"/>
    </xf>
    <xf numFmtId="0" fontId="11" fillId="18" borderId="18" xfId="0" applyFont="1" applyFill="1" applyBorder="1" applyAlignment="1">
      <alignment horizontal="center" vertical="center"/>
    </xf>
    <xf numFmtId="0" fontId="25" fillId="22" borderId="1" xfId="0" applyFont="1" applyFill="1" applyBorder="1"/>
    <xf numFmtId="0" fontId="20" fillId="16" borderId="18" xfId="0" applyFont="1" applyFill="1" applyBorder="1" applyAlignment="1">
      <alignment horizontal="center"/>
    </xf>
    <xf numFmtId="0" fontId="20" fillId="16" borderId="1" xfId="0" applyFont="1" applyFill="1" applyBorder="1"/>
    <xf numFmtId="0" fontId="11" fillId="22" borderId="1" xfId="0" applyFont="1" applyFill="1" applyBorder="1" applyAlignment="1">
      <alignment vertical="center"/>
    </xf>
    <xf numFmtId="0" fontId="0" fillId="0" borderId="0" xfId="0"/>
    <xf numFmtId="0" fontId="0" fillId="0" borderId="0" xfId="0" applyFill="1"/>
    <xf numFmtId="4" fontId="0" fillId="0" borderId="17" xfId="0" applyNumberFormat="1" applyFont="1" applyFill="1" applyBorder="1" applyAlignment="1">
      <alignment horizontal="center"/>
    </xf>
    <xf numFmtId="43" fontId="0" fillId="0" borderId="0" xfId="0" applyNumberFormat="1" applyFill="1"/>
    <xf numFmtId="4" fontId="0" fillId="0" borderId="0" xfId="0" applyNumberFormat="1" applyFill="1" applyBorder="1"/>
    <xf numFmtId="0" fontId="0" fillId="0" borderId="0" xfId="0" applyFont="1" applyFill="1"/>
    <xf numFmtId="0" fontId="11" fillId="0" borderId="18" xfId="0" applyFont="1" applyFill="1" applyBorder="1" applyAlignment="1">
      <alignment horizontal="center"/>
    </xf>
    <xf numFmtId="4" fontId="19" fillId="22" borderId="18" xfId="0" applyNumberFormat="1" applyFont="1" applyFill="1" applyBorder="1" applyAlignment="1">
      <alignment horizontal="center"/>
    </xf>
    <xf numFmtId="0" fontId="11" fillId="18" borderId="1" xfId="0" applyFont="1" applyFill="1" applyBorder="1"/>
    <xf numFmtId="0" fontId="0" fillId="0" borderId="0" xfId="0"/>
    <xf numFmtId="0" fontId="0" fillId="21" borderId="0" xfId="0" applyFill="1"/>
    <xf numFmtId="4" fontId="1" fillId="21" borderId="2" xfId="0" applyNumberFormat="1" applyFont="1" applyFill="1" applyBorder="1" applyAlignment="1">
      <alignment horizontal="center"/>
    </xf>
    <xf numFmtId="0" fontId="1" fillId="21" borderId="17" xfId="0" applyFont="1" applyFill="1" applyBorder="1" applyAlignment="1">
      <alignment horizontal="center"/>
    </xf>
    <xf numFmtId="0" fontId="11" fillId="21" borderId="1" xfId="0" applyFont="1" applyFill="1" applyBorder="1"/>
    <xf numFmtId="0" fontId="0" fillId="0" borderId="0" xfId="0"/>
    <xf numFmtId="0" fontId="0" fillId="0" borderId="0" xfId="0" applyFill="1"/>
    <xf numFmtId="0" fontId="0" fillId="0" borderId="0" xfId="0"/>
    <xf numFmtId="0" fontId="0" fillId="22" borderId="0" xfId="0" applyFill="1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25" fillId="18" borderId="1" xfId="0" applyFont="1" applyFill="1" applyBorder="1" applyAlignment="1">
      <alignment horizontal="left"/>
    </xf>
    <xf numFmtId="0" fontId="11" fillId="22" borderId="18" xfId="0" applyFont="1" applyFill="1" applyBorder="1" applyAlignment="1">
      <alignment horizontal="center" vertical="center"/>
    </xf>
    <xf numFmtId="0" fontId="0" fillId="0" borderId="0" xfId="0" applyFill="1"/>
    <xf numFmtId="9" fontId="12" fillId="0" borderId="2" xfId="2" applyFont="1" applyFill="1" applyBorder="1" applyAlignment="1">
      <alignment horizontal="center"/>
    </xf>
    <xf numFmtId="43" fontId="1" fillId="0" borderId="17" xfId="0" applyNumberFormat="1" applyFont="1" applyBorder="1" applyAlignment="1"/>
    <xf numFmtId="0" fontId="0" fillId="0" borderId="0" xfId="0"/>
    <xf numFmtId="10" fontId="12" fillId="16" borderId="1" xfId="2" applyNumberFormat="1" applyFont="1" applyFill="1" applyBorder="1" applyAlignment="1">
      <alignment horizontal="right" vertical="center"/>
    </xf>
    <xf numFmtId="2" fontId="12" fillId="16" borderId="2" xfId="2" applyNumberFormat="1" applyFont="1" applyFill="1" applyBorder="1" applyAlignment="1">
      <alignment horizontal="center" vertical="center"/>
    </xf>
    <xf numFmtId="0" fontId="12" fillId="22" borderId="1" xfId="0" applyFont="1" applyFill="1" applyBorder="1" applyAlignment="1">
      <alignment horizontal="center"/>
    </xf>
    <xf numFmtId="1" fontId="12" fillId="22" borderId="2" xfId="0" applyNumberFormat="1" applyFont="1" applyFill="1" applyBorder="1" applyAlignment="1">
      <alignment horizontal="center"/>
    </xf>
    <xf numFmtId="4" fontId="1" fillId="22" borderId="2" xfId="0" applyNumberFormat="1" applyFont="1" applyFill="1" applyBorder="1" applyAlignment="1">
      <alignment horizontal="center"/>
    </xf>
    <xf numFmtId="0" fontId="0" fillId="22" borderId="0" xfId="0" applyFill="1"/>
    <xf numFmtId="0" fontId="0" fillId="0" borderId="0" xfId="0" applyFill="1"/>
    <xf numFmtId="0" fontId="0" fillId="0" borderId="0" xfId="0"/>
    <xf numFmtId="0" fontId="11" fillId="16" borderId="1" xfId="0" applyFont="1" applyFill="1" applyBorder="1"/>
    <xf numFmtId="1" fontId="12" fillId="16" borderId="2" xfId="0" applyNumberFormat="1" applyFont="1" applyFill="1" applyBorder="1" applyAlignment="1">
      <alignment horizontal="center"/>
    </xf>
    <xf numFmtId="4" fontId="0" fillId="0" borderId="0" xfId="0" applyNumberFormat="1"/>
    <xf numFmtId="4" fontId="1" fillId="0" borderId="0" xfId="2" applyNumberFormat="1" applyFont="1" applyFill="1" applyBorder="1" applyAlignment="1">
      <alignment horizontal="center"/>
    </xf>
    <xf numFmtId="4" fontId="1" fillId="0" borderId="0" xfId="0" applyNumberFormat="1" applyFont="1"/>
    <xf numFmtId="0" fontId="11" fillId="16" borderId="2" xfId="0" applyFont="1" applyFill="1" applyBorder="1"/>
    <xf numFmtId="10" fontId="12" fillId="16" borderId="2" xfId="2" applyNumberFormat="1" applyFont="1" applyFill="1" applyBorder="1" applyAlignment="1">
      <alignment horizontal="right" vertical="center"/>
    </xf>
    <xf numFmtId="43" fontId="0" fillId="0" borderId="1" xfId="0" applyNumberFormat="1" applyBorder="1"/>
    <xf numFmtId="0" fontId="11" fillId="18" borderId="1" xfId="0" applyFont="1" applyFill="1" applyBorder="1" applyAlignment="1">
      <alignment horizontal="left"/>
    </xf>
    <xf numFmtId="0" fontId="11" fillId="21" borderId="18" xfId="0" applyFont="1" applyFill="1" applyBorder="1" applyAlignment="1">
      <alignment horizontal="center"/>
    </xf>
    <xf numFmtId="0" fontId="12" fillId="21" borderId="1" xfId="0" applyFont="1" applyFill="1" applyBorder="1" applyAlignment="1">
      <alignment horizontal="center"/>
    </xf>
    <xf numFmtId="1" fontId="12" fillId="21" borderId="2" xfId="0" applyNumberFormat="1" applyFont="1" applyFill="1" applyBorder="1" applyAlignment="1">
      <alignment horizontal="center"/>
    </xf>
    <xf numFmtId="43" fontId="1" fillId="0" borderId="17" xfId="0" applyNumberFormat="1" applyFont="1" applyBorder="1"/>
    <xf numFmtId="0" fontId="11" fillId="22" borderId="18" xfId="0" applyFont="1" applyFill="1" applyBorder="1" applyAlignment="1">
      <alignment horizontal="center"/>
    </xf>
    <xf numFmtId="0" fontId="11" fillId="22" borderId="1" xfId="0" applyFont="1" applyFill="1" applyBorder="1" applyAlignment="1">
      <alignment horizontal="left"/>
    </xf>
    <xf numFmtId="0" fontId="11" fillId="22" borderId="1" xfId="0" applyFont="1" applyFill="1" applyBorder="1" applyAlignment="1">
      <alignment horizontal="center"/>
    </xf>
    <xf numFmtId="0" fontId="0" fillId="0" borderId="0" xfId="0" applyFill="1"/>
    <xf numFmtId="2" fontId="11" fillId="0" borderId="1" xfId="0" applyNumberFormat="1" applyFont="1" applyFill="1" applyBorder="1"/>
    <xf numFmtId="0" fontId="20" fillId="0" borderId="18" xfId="0" applyFont="1" applyFill="1" applyBorder="1" applyAlignment="1">
      <alignment horizontal="center"/>
    </xf>
    <xf numFmtId="0" fontId="21" fillId="0" borderId="1" xfId="0" applyFont="1" applyFill="1" applyBorder="1"/>
    <xf numFmtId="0" fontId="20" fillId="0" borderId="1" xfId="0" applyFont="1" applyFill="1" applyBorder="1" applyAlignment="1">
      <alignment horizontal="center"/>
    </xf>
    <xf numFmtId="0" fontId="7" fillId="0" borderId="0" xfId="0" applyFont="1" applyFill="1"/>
    <xf numFmtId="0" fontId="12" fillId="16" borderId="18" xfId="0" applyFont="1" applyFill="1" applyBorder="1" applyAlignment="1">
      <alignment horizontal="center" vertical="center"/>
    </xf>
    <xf numFmtId="0" fontId="11" fillId="22" borderId="1" xfId="0" applyFont="1" applyFill="1" applyBorder="1"/>
    <xf numFmtId="0" fontId="12" fillId="0" borderId="1" xfId="0" applyFont="1" applyFill="1" applyBorder="1"/>
    <xf numFmtId="0" fontId="11" fillId="0" borderId="1" xfId="0" applyFont="1" applyFill="1" applyBorder="1"/>
    <xf numFmtId="0" fontId="12" fillId="0" borderId="1" xfId="0" applyFont="1" applyFill="1" applyBorder="1" applyAlignment="1">
      <alignment horizontal="center"/>
    </xf>
    <xf numFmtId="1" fontId="12" fillId="0" borderId="2" xfId="0" applyNumberFormat="1" applyFont="1" applyFill="1" applyBorder="1" applyAlignment="1">
      <alignment horizontal="center"/>
    </xf>
    <xf numFmtId="0" fontId="0" fillId="0" borderId="0" xfId="0" applyFill="1"/>
    <xf numFmtId="0" fontId="12" fillId="0" borderId="18" xfId="0" applyFont="1" applyFill="1" applyBorder="1" applyAlignment="1">
      <alignment horizontal="center" vertical="center"/>
    </xf>
    <xf numFmtId="10" fontId="12" fillId="0" borderId="1" xfId="2" applyNumberFormat="1" applyFont="1" applyFill="1" applyBorder="1" applyAlignment="1">
      <alignment horizontal="right" vertical="center"/>
    </xf>
    <xf numFmtId="2" fontId="12" fillId="0" borderId="2" xfId="2" applyNumberFormat="1" applyFont="1" applyFill="1" applyBorder="1" applyAlignment="1">
      <alignment horizontal="center" vertical="center"/>
    </xf>
    <xf numFmtId="43" fontId="0" fillId="0" borderId="1" xfId="2" applyNumberFormat="1" applyFont="1" applyBorder="1" applyAlignment="1">
      <alignment horizontal="center" vertical="center"/>
    </xf>
    <xf numFmtId="0" fontId="0" fillId="0" borderId="17" xfId="0" applyFont="1" applyFill="1" applyBorder="1" applyAlignment="1">
      <alignment horizontal="center"/>
    </xf>
    <xf numFmtId="4" fontId="7" fillId="0" borderId="18" xfId="1" applyNumberFormat="1" applyFont="1" applyFill="1" applyBorder="1" applyAlignment="1">
      <alignment horizontal="center"/>
    </xf>
    <xf numFmtId="4" fontId="1" fillId="0" borderId="3" xfId="0" applyNumberFormat="1" applyFont="1" applyFill="1" applyBorder="1" applyAlignment="1">
      <alignment horizontal="center"/>
    </xf>
    <xf numFmtId="4" fontId="0" fillId="0" borderId="1" xfId="1" applyNumberFormat="1" applyFont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4" fontId="1" fillId="0" borderId="2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4" fontId="0" fillId="0" borderId="3" xfId="0" applyNumberFormat="1" applyFont="1" applyFill="1" applyBorder="1" applyAlignment="1">
      <alignment horizontal="center"/>
    </xf>
    <xf numFmtId="4" fontId="3" fillId="0" borderId="18" xfId="2" applyNumberFormat="1" applyFont="1" applyFill="1" applyBorder="1" applyAlignment="1">
      <alignment horizontal="center"/>
    </xf>
    <xf numFmtId="4" fontId="3" fillId="0" borderId="2" xfId="2" applyNumberFormat="1" applyFont="1" applyFill="1" applyBorder="1" applyAlignment="1">
      <alignment horizontal="center"/>
    </xf>
    <xf numFmtId="4" fontId="3" fillId="0" borderId="2" xfId="0" applyNumberFormat="1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4" fontId="0" fillId="0" borderId="2" xfId="0" applyNumberFormat="1" applyBorder="1"/>
    <xf numFmtId="4" fontId="3" fillId="0" borderId="18" xfId="0" applyNumberFormat="1" applyFont="1" applyFill="1" applyBorder="1" applyAlignment="1">
      <alignment horizontal="center"/>
    </xf>
    <xf numFmtId="4" fontId="3" fillId="0" borderId="1" xfId="1" applyNumberFormat="1" applyFont="1" applyBorder="1" applyAlignment="1">
      <alignment horizontal="center"/>
    </xf>
    <xf numFmtId="4" fontId="0" fillId="0" borderId="2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4" fontId="2" fillId="0" borderId="18" xfId="1" applyNumberFormat="1" applyFont="1" applyFill="1" applyBorder="1" applyAlignment="1">
      <alignment horizontal="center"/>
    </xf>
    <xf numFmtId="4" fontId="0" fillId="0" borderId="1" xfId="0" applyNumberFormat="1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" fontId="0" fillId="0" borderId="2" xfId="0" applyNumberFormat="1" applyFill="1" applyBorder="1" applyAlignment="1">
      <alignment horizontal="center"/>
    </xf>
    <xf numFmtId="4" fontId="7" fillId="0" borderId="1" xfId="0" applyNumberFormat="1" applyFont="1" applyFill="1" applyBorder="1" applyAlignment="1">
      <alignment horizontal="center"/>
    </xf>
    <xf numFmtId="4" fontId="7" fillId="0" borderId="2" xfId="0" applyNumberFormat="1" applyFont="1" applyBorder="1" applyAlignment="1">
      <alignment horizontal="center"/>
    </xf>
    <xf numFmtId="4" fontId="7" fillId="0" borderId="2" xfId="0" applyNumberFormat="1" applyFont="1" applyFill="1" applyBorder="1" applyAlignment="1">
      <alignment horizontal="center"/>
    </xf>
    <xf numFmtId="4" fontId="0" fillId="0" borderId="2" xfId="1" applyNumberFormat="1" applyFont="1" applyBorder="1" applyAlignment="1">
      <alignment horizontal="center"/>
    </xf>
    <xf numFmtId="4" fontId="7" fillId="0" borderId="2" xfId="1" applyNumberFormat="1" applyFont="1" applyBorder="1" applyAlignment="1">
      <alignment horizontal="center"/>
    </xf>
    <xf numFmtId="9" fontId="0" fillId="16" borderId="60" xfId="2" applyFont="1" applyFill="1" applyBorder="1" applyAlignment="1">
      <alignment horizontal="center"/>
    </xf>
    <xf numFmtId="9" fontId="11" fillId="16" borderId="2" xfId="2" applyFont="1" applyFill="1" applyBorder="1"/>
    <xf numFmtId="9" fontId="11" fillId="16" borderId="1" xfId="2" applyFont="1" applyFill="1" applyBorder="1"/>
    <xf numFmtId="9" fontId="11" fillId="23" borderId="2" xfId="2" applyFont="1" applyFill="1" applyBorder="1"/>
    <xf numFmtId="9" fontId="12" fillId="16" borderId="2" xfId="2" applyFont="1" applyFill="1" applyBorder="1"/>
    <xf numFmtId="9" fontId="12" fillId="16" borderId="2" xfId="2" applyFont="1" applyFill="1" applyBorder="1" applyAlignment="1">
      <alignment horizontal="right" vertical="center"/>
    </xf>
    <xf numFmtId="9" fontId="12" fillId="22" borderId="2" xfId="2" applyFont="1" applyFill="1" applyBorder="1" applyAlignment="1">
      <alignment horizontal="center"/>
    </xf>
    <xf numFmtId="174" fontId="0" fillId="22" borderId="18" xfId="0" applyNumberFormat="1" applyFill="1" applyBorder="1" applyAlignment="1">
      <alignment horizontal="right"/>
    </xf>
    <xf numFmtId="0" fontId="11" fillId="22" borderId="2" xfId="0" applyFont="1" applyFill="1" applyBorder="1"/>
    <xf numFmtId="0" fontId="0" fillId="22" borderId="1" xfId="0" applyFill="1" applyBorder="1"/>
    <xf numFmtId="43" fontId="1" fillId="22" borderId="17" xfId="0" applyNumberFormat="1" applyFont="1" applyFill="1" applyBorder="1"/>
    <xf numFmtId="0" fontId="25" fillId="22" borderId="18" xfId="0" applyFont="1" applyFill="1" applyBorder="1" applyAlignment="1">
      <alignment horizontal="center"/>
    </xf>
    <xf numFmtId="10" fontId="12" fillId="22" borderId="2" xfId="2" applyNumberFormat="1" applyFont="1" applyFill="1" applyBorder="1" applyAlignment="1">
      <alignment horizontal="right" vertical="center"/>
    </xf>
    <xf numFmtId="0" fontId="25" fillId="22" borderId="1" xfId="0" applyFont="1" applyFill="1" applyBorder="1" applyAlignment="1">
      <alignment horizontal="left"/>
    </xf>
    <xf numFmtId="43" fontId="0" fillId="22" borderId="1" xfId="0" applyNumberFormat="1" applyFill="1" applyBorder="1"/>
    <xf numFmtId="0" fontId="12" fillId="22" borderId="2" xfId="0" applyFont="1" applyFill="1" applyBorder="1"/>
    <xf numFmtId="0" fontId="11" fillId="23" borderId="1" xfId="0" applyFont="1" applyFill="1" applyBorder="1" applyAlignment="1">
      <alignment horizontal="center"/>
    </xf>
    <xf numFmtId="9" fontId="12" fillId="23" borderId="2" xfId="0" applyNumberFormat="1" applyFont="1" applyFill="1" applyBorder="1" applyAlignment="1">
      <alignment horizontal="center"/>
    </xf>
    <xf numFmtId="0" fontId="0" fillId="23" borderId="1" xfId="0" applyFill="1" applyBorder="1"/>
    <xf numFmtId="0" fontId="1" fillId="0" borderId="0" xfId="0" applyFont="1" applyFill="1"/>
    <xf numFmtId="0" fontId="7" fillId="0" borderId="1" xfId="0" applyFont="1" applyBorder="1"/>
    <xf numFmtId="0" fontId="12" fillId="16" borderId="6" xfId="0" applyFont="1" applyFill="1" applyBorder="1"/>
    <xf numFmtId="0" fontId="11" fillId="16" borderId="35" xfId="0" applyFont="1" applyFill="1" applyBorder="1"/>
    <xf numFmtId="43" fontId="1" fillId="0" borderId="59" xfId="0" applyNumberFormat="1" applyFont="1" applyBorder="1"/>
    <xf numFmtId="0" fontId="0" fillId="24" borderId="67" xfId="0" applyFill="1" applyBorder="1"/>
    <xf numFmtId="43" fontId="1" fillId="24" borderId="69" xfId="0" applyNumberFormat="1" applyFont="1" applyFill="1" applyBorder="1"/>
    <xf numFmtId="0" fontId="11" fillId="24" borderId="67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" fillId="25" borderId="56" xfId="0" applyFont="1" applyFill="1" applyBorder="1" applyAlignment="1">
      <alignment horizontal="center"/>
    </xf>
    <xf numFmtId="0" fontId="1" fillId="25" borderId="53" xfId="0" applyFont="1" applyFill="1" applyBorder="1" applyAlignment="1">
      <alignment horizontal="center"/>
    </xf>
    <xf numFmtId="1" fontId="1" fillId="25" borderId="51" xfId="0" applyNumberFormat="1" applyFont="1" applyFill="1" applyBorder="1" applyAlignment="1">
      <alignment horizontal="center"/>
    </xf>
    <xf numFmtId="0" fontId="0" fillId="25" borderId="56" xfId="0" applyFill="1" applyBorder="1" applyAlignment="1">
      <alignment horizontal="center"/>
    </xf>
    <xf numFmtId="0" fontId="0" fillId="25" borderId="53" xfId="0" applyFill="1" applyBorder="1" applyAlignment="1">
      <alignment horizontal="center"/>
    </xf>
    <xf numFmtId="1" fontId="0" fillId="25" borderId="43" xfId="0" applyNumberFormat="1" applyFill="1" applyBorder="1" applyAlignment="1">
      <alignment horizontal="center"/>
    </xf>
    <xf numFmtId="0" fontId="11" fillId="16" borderId="33" xfId="0" applyFont="1" applyFill="1" applyBorder="1" applyAlignment="1">
      <alignment horizontal="center"/>
    </xf>
    <xf numFmtId="0" fontId="12" fillId="16" borderId="7" xfId="0" applyFont="1" applyFill="1" applyBorder="1" applyAlignment="1">
      <alignment horizontal="center"/>
    </xf>
    <xf numFmtId="1" fontId="12" fillId="16" borderId="5" xfId="0" applyNumberFormat="1" applyFont="1" applyFill="1" applyBorder="1" applyAlignment="1">
      <alignment horizontal="center"/>
    </xf>
    <xf numFmtId="4" fontId="1" fillId="0" borderId="64" xfId="2" applyNumberFormat="1" applyFont="1" applyFill="1" applyBorder="1" applyAlignment="1">
      <alignment horizontal="center"/>
    </xf>
    <xf numFmtId="4" fontId="1" fillId="0" borderId="12" xfId="2" applyNumberFormat="1" applyFont="1" applyFill="1" applyBorder="1" applyAlignment="1">
      <alignment horizontal="center"/>
    </xf>
    <xf numFmtId="0" fontId="11" fillId="22" borderId="66" xfId="0" applyFont="1" applyFill="1" applyBorder="1" applyAlignment="1">
      <alignment horizontal="center"/>
    </xf>
    <xf numFmtId="9" fontId="12" fillId="22" borderId="67" xfId="0" applyNumberFormat="1" applyFont="1" applyFill="1" applyBorder="1" applyAlignment="1">
      <alignment horizontal="center"/>
    </xf>
    <xf numFmtId="0" fontId="12" fillId="22" borderId="67" xfId="0" applyFont="1" applyFill="1" applyBorder="1" applyAlignment="1">
      <alignment horizontal="center"/>
    </xf>
    <xf numFmtId="1" fontId="12" fillId="22" borderId="69" xfId="0" applyNumberFormat="1" applyFont="1" applyFill="1" applyBorder="1" applyAlignment="1">
      <alignment horizontal="center"/>
    </xf>
    <xf numFmtId="0" fontId="1" fillId="25" borderId="28" xfId="0" applyFont="1" applyFill="1" applyBorder="1" applyAlignment="1">
      <alignment horizontal="center"/>
    </xf>
    <xf numFmtId="0" fontId="1" fillId="25" borderId="61" xfId="0" applyFont="1" applyFill="1" applyBorder="1" applyAlignment="1">
      <alignment horizontal="center"/>
    </xf>
    <xf numFmtId="0" fontId="1" fillId="25" borderId="56" xfId="0" applyFont="1" applyFill="1" applyBorder="1" applyAlignment="1">
      <alignment horizontal="center" vertical="center"/>
    </xf>
    <xf numFmtId="4" fontId="1" fillId="25" borderId="53" xfId="0" applyNumberFormat="1" applyFont="1" applyFill="1" applyBorder="1" applyAlignment="1">
      <alignment horizontal="center" vertical="center"/>
    </xf>
    <xf numFmtId="0" fontId="1" fillId="25" borderId="53" xfId="0" applyFont="1" applyFill="1" applyBorder="1" applyAlignment="1">
      <alignment horizontal="center" vertical="center" wrapText="1"/>
    </xf>
    <xf numFmtId="1" fontId="11" fillId="25" borderId="53" xfId="0" applyNumberFormat="1" applyFont="1" applyFill="1" applyBorder="1" applyAlignment="1">
      <alignment horizontal="center" vertical="center"/>
    </xf>
    <xf numFmtId="0" fontId="1" fillId="25" borderId="53" xfId="0" applyFont="1" applyFill="1" applyBorder="1" applyAlignment="1">
      <alignment horizontal="center" vertical="center"/>
    </xf>
    <xf numFmtId="43" fontId="1" fillId="25" borderId="43" xfId="0" applyNumberFormat="1" applyFont="1" applyFill="1" applyBorder="1" applyAlignment="1">
      <alignment horizontal="center" vertical="center" wrapText="1"/>
    </xf>
    <xf numFmtId="4" fontId="1" fillId="0" borderId="69" xfId="0" applyNumberFormat="1" applyFont="1" applyBorder="1" applyAlignment="1">
      <alignment horizontal="center" wrapText="1"/>
    </xf>
    <xf numFmtId="1" fontId="1" fillId="0" borderId="68" xfId="0" applyNumberFormat="1" applyFont="1" applyBorder="1" applyAlignment="1">
      <alignment horizontal="center" vertical="center" wrapText="1"/>
    </xf>
    <xf numFmtId="1" fontId="1" fillId="0" borderId="67" xfId="0" applyNumberFormat="1" applyFont="1" applyBorder="1" applyAlignment="1">
      <alignment horizontal="center" vertical="center" wrapText="1"/>
    </xf>
    <xf numFmtId="0" fontId="1" fillId="0" borderId="67" xfId="0" applyFont="1" applyBorder="1" applyAlignment="1">
      <alignment horizontal="center" vertical="center"/>
    </xf>
    <xf numFmtId="0" fontId="1" fillId="0" borderId="66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0" fillId="26" borderId="0" xfId="0" applyFill="1"/>
    <xf numFmtId="0" fontId="12" fillId="26" borderId="18" xfId="0" applyFont="1" applyFill="1" applyBorder="1" applyAlignment="1">
      <alignment horizontal="center" vertical="center"/>
    </xf>
    <xf numFmtId="0" fontId="12" fillId="26" borderId="18" xfId="0" applyFont="1" applyFill="1" applyBorder="1" applyAlignment="1">
      <alignment horizontal="center"/>
    </xf>
    <xf numFmtId="43" fontId="0" fillId="0" borderId="9" xfId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4" fontId="0" fillId="0" borderId="9" xfId="0" applyNumberFormat="1" applyFont="1" applyBorder="1"/>
    <xf numFmtId="4" fontId="0" fillId="0" borderId="10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/>
    <xf numFmtId="0" fontId="0" fillId="0" borderId="7" xfId="0" applyBorder="1" applyAlignment="1">
      <alignment horizontal="center"/>
    </xf>
    <xf numFmtId="0" fontId="0" fillId="0" borderId="50" xfId="0" applyBorder="1"/>
    <xf numFmtId="0" fontId="1" fillId="0" borderId="50" xfId="0" applyFont="1" applyBorder="1"/>
    <xf numFmtId="1" fontId="0" fillId="0" borderId="50" xfId="0" applyNumberFormat="1" applyBorder="1" applyAlignment="1">
      <alignment horizontal="center"/>
    </xf>
    <xf numFmtId="0" fontId="1" fillId="16" borderId="45" xfId="0" applyFont="1" applyFill="1" applyBorder="1" applyAlignment="1">
      <alignment vertical="center"/>
    </xf>
    <xf numFmtId="49" fontId="3" fillId="16" borderId="1" xfId="0" applyNumberFormat="1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29" fillId="27" borderId="1" xfId="399" applyFont="1" applyFill="1" applyBorder="1" applyAlignment="1">
      <alignment horizontal="center" vertical="center" wrapText="1"/>
    </xf>
    <xf numFmtId="0" fontId="29" fillId="27" borderId="1" xfId="399" applyFont="1" applyFill="1" applyBorder="1" applyAlignment="1">
      <alignment horizontal="left" vertical="center" wrapText="1"/>
    </xf>
    <xf numFmtId="4" fontId="29" fillId="27" borderId="1" xfId="399" applyNumberFormat="1" applyFont="1" applyFill="1" applyBorder="1" applyAlignment="1">
      <alignment horizontal="center" vertical="center" wrapText="1"/>
    </xf>
    <xf numFmtId="0" fontId="29" fillId="28" borderId="1" xfId="399" applyFont="1" applyFill="1" applyBorder="1" applyAlignment="1">
      <alignment horizontal="center" vertical="center" wrapText="1"/>
    </xf>
    <xf numFmtId="0" fontId="29" fillId="28" borderId="1" xfId="399" applyFont="1" applyFill="1" applyBorder="1" applyAlignment="1">
      <alignment horizontal="left" vertical="center" wrapText="1"/>
    </xf>
    <xf numFmtId="4" fontId="29" fillId="28" borderId="1" xfId="399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/>
    <xf numFmtId="1" fontId="0" fillId="0" borderId="0" xfId="0" applyNumberFormat="1"/>
    <xf numFmtId="0" fontId="11" fillId="0" borderId="2" xfId="0" applyFont="1" applyFill="1" applyBorder="1"/>
    <xf numFmtId="43" fontId="0" fillId="0" borderId="1" xfId="0" applyNumberFormat="1" applyFill="1" applyBorder="1"/>
    <xf numFmtId="0" fontId="0" fillId="0" borderId="1" xfId="0" applyFill="1" applyBorder="1"/>
    <xf numFmtId="43" fontId="1" fillId="0" borderId="17" xfId="0" applyNumberFormat="1" applyFont="1" applyFill="1" applyBorder="1"/>
    <xf numFmtId="9" fontId="11" fillId="0" borderId="2" xfId="2" applyFont="1" applyFill="1" applyBorder="1"/>
    <xf numFmtId="4" fontId="0" fillId="0" borderId="1" xfId="0" applyNumberFormat="1" applyFill="1" applyBorder="1" applyAlignment="1"/>
    <xf numFmtId="43" fontId="1" fillId="0" borderId="17" xfId="0" applyNumberFormat="1" applyFont="1" applyFill="1" applyBorder="1" applyAlignment="1"/>
    <xf numFmtId="4" fontId="11" fillId="16" borderId="1" xfId="0" applyNumberFormat="1" applyFont="1" applyFill="1" applyBorder="1"/>
    <xf numFmtId="0" fontId="12" fillId="0" borderId="18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" fillId="25" borderId="1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horizontal="center" vertical="center" wrapText="1"/>
    </xf>
    <xf numFmtId="1" fontId="11" fillId="25" borderId="1" xfId="0" applyNumberFormat="1" applyFont="1" applyFill="1" applyBorder="1" applyAlignment="1">
      <alignment horizontal="center" vertical="center"/>
    </xf>
    <xf numFmtId="9" fontId="0" fillId="30" borderId="1" xfId="2" applyFont="1" applyFill="1" applyBorder="1" applyAlignment="1">
      <alignment horizontal="center"/>
    </xf>
    <xf numFmtId="9" fontId="0" fillId="21" borderId="1" xfId="2" applyFont="1" applyFill="1" applyBorder="1" applyAlignment="1">
      <alignment horizontal="center"/>
    </xf>
    <xf numFmtId="9" fontId="0" fillId="29" borderId="1" xfId="2" applyFont="1" applyFill="1" applyBorder="1" applyAlignment="1">
      <alignment horizontal="center"/>
    </xf>
    <xf numFmtId="43" fontId="12" fillId="0" borderId="1" xfId="2" applyNumberFormat="1" applyFont="1" applyFill="1" applyBorder="1" applyAlignment="1">
      <alignment horizontal="right" vertical="center"/>
    </xf>
    <xf numFmtId="43" fontId="12" fillId="0" borderId="1" xfId="0" applyNumberFormat="1" applyFont="1" applyFill="1" applyBorder="1"/>
    <xf numFmtId="9" fontId="0" fillId="0" borderId="0" xfId="2" applyFont="1"/>
    <xf numFmtId="9" fontId="11" fillId="25" borderId="1" xfId="2" applyFont="1" applyFill="1" applyBorder="1" applyAlignment="1">
      <alignment horizontal="center" vertical="center" wrapText="1"/>
    </xf>
    <xf numFmtId="9" fontId="0" fillId="0" borderId="1" xfId="2" applyFont="1" applyBorder="1"/>
    <xf numFmtId="9" fontId="0" fillId="0" borderId="1" xfId="2" applyFont="1" applyBorder="1" applyAlignment="1">
      <alignment horizontal="center"/>
    </xf>
    <xf numFmtId="4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0" fontId="12" fillId="0" borderId="0" xfId="0" applyFont="1"/>
    <xf numFmtId="0" fontId="12" fillId="25" borderId="1" xfId="0" applyFont="1" applyFill="1" applyBorder="1" applyAlignment="1">
      <alignment horizontal="center" vertical="center" wrapText="1"/>
    </xf>
    <xf numFmtId="43" fontId="12" fillId="0" borderId="1" xfId="0" applyNumberFormat="1" applyFont="1" applyBorder="1"/>
    <xf numFmtId="43" fontId="12" fillId="0" borderId="1" xfId="0" applyNumberFormat="1" applyFont="1" applyFill="1" applyBorder="1" applyAlignment="1">
      <alignment horizontal="right"/>
    </xf>
    <xf numFmtId="0" fontId="12" fillId="0" borderId="1" xfId="0" applyFont="1" applyBorder="1" applyAlignment="1">
      <alignment horizontal="center"/>
    </xf>
    <xf numFmtId="10" fontId="12" fillId="0" borderId="1" xfId="0" applyNumberFormat="1" applyFont="1" applyFill="1" applyBorder="1" applyAlignment="1">
      <alignment horizontal="right"/>
    </xf>
    <xf numFmtId="0" fontId="12" fillId="0" borderId="1" xfId="0" applyFont="1" applyBorder="1"/>
    <xf numFmtId="0" fontId="0" fillId="0" borderId="0" xfId="0" applyAlignment="1">
      <alignment horizontal="center"/>
    </xf>
    <xf numFmtId="0" fontId="30" fillId="0" borderId="1" xfId="0" applyFont="1" applyFill="1" applyBorder="1" applyAlignment="1">
      <alignment wrapText="1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/>
    </xf>
    <xf numFmtId="0" fontId="30" fillId="0" borderId="1" xfId="0" applyFont="1" applyFill="1" applyBorder="1" applyAlignment="1">
      <alignment horizontal="left"/>
    </xf>
    <xf numFmtId="4" fontId="0" fillId="0" borderId="4" xfId="0" applyNumberFormat="1" applyFont="1" applyBorder="1" applyAlignment="1">
      <alignment horizontal="center"/>
    </xf>
    <xf numFmtId="4" fontId="1" fillId="22" borderId="4" xfId="0" applyNumberFormat="1" applyFont="1" applyFill="1" applyBorder="1" applyAlignment="1">
      <alignment horizontal="center"/>
    </xf>
    <xf numFmtId="0" fontId="11" fillId="16" borderId="1" xfId="0" applyFont="1" applyFill="1" applyBorder="1" applyAlignment="1">
      <alignment wrapText="1"/>
    </xf>
    <xf numFmtId="4" fontId="1" fillId="0" borderId="18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9" xfId="0" applyFill="1" applyBorder="1" applyAlignment="1">
      <alignment wrapText="1"/>
    </xf>
    <xf numFmtId="0" fontId="1" fillId="0" borderId="67" xfId="0" applyFont="1" applyBorder="1" applyAlignment="1">
      <alignment horizontal="center" vertical="center" wrapText="1"/>
    </xf>
    <xf numFmtId="0" fontId="0" fillId="0" borderId="7" xfId="0" applyBorder="1" applyAlignment="1">
      <alignment wrapText="1"/>
    </xf>
    <xf numFmtId="0" fontId="12" fillId="21" borderId="1" xfId="0" applyFont="1" applyFill="1" applyBorder="1" applyAlignment="1">
      <alignment wrapText="1"/>
    </xf>
    <xf numFmtId="0" fontId="20" fillId="20" borderId="1" xfId="0" applyFont="1" applyFill="1" applyBorder="1" applyAlignment="1">
      <alignment wrapText="1"/>
    </xf>
    <xf numFmtId="0" fontId="7" fillId="0" borderId="1" xfId="0" applyFont="1" applyBorder="1" applyAlignment="1">
      <alignment wrapText="1"/>
    </xf>
    <xf numFmtId="0" fontId="11" fillId="22" borderId="1" xfId="0" applyFont="1" applyFill="1" applyBorder="1" applyAlignment="1">
      <alignment horizontal="center" wrapText="1"/>
    </xf>
    <xf numFmtId="0" fontId="12" fillId="20" borderId="1" xfId="0" applyFont="1" applyFill="1" applyBorder="1" applyAlignment="1">
      <alignment wrapText="1"/>
    </xf>
    <xf numFmtId="0" fontId="12" fillId="19" borderId="1" xfId="0" applyFont="1" applyFill="1" applyBorder="1" applyAlignment="1">
      <alignment wrapText="1"/>
    </xf>
    <xf numFmtId="0" fontId="12" fillId="22" borderId="1" xfId="0" applyFont="1" applyFill="1" applyBorder="1" applyAlignment="1">
      <alignment wrapText="1"/>
    </xf>
    <xf numFmtId="0" fontId="21" fillId="16" borderId="1" xfId="0" applyFont="1" applyFill="1" applyBorder="1" applyAlignment="1">
      <alignment wrapText="1"/>
    </xf>
    <xf numFmtId="0" fontId="11" fillId="22" borderId="1" xfId="0" applyFont="1" applyFill="1" applyBorder="1" applyAlignment="1">
      <alignment vertical="center" wrapText="1"/>
    </xf>
    <xf numFmtId="0" fontId="11" fillId="16" borderId="1" xfId="0" applyFont="1" applyFill="1" applyBorder="1" applyAlignment="1">
      <alignment horizontal="left" wrapText="1"/>
    </xf>
    <xf numFmtId="4" fontId="11" fillId="16" borderId="1" xfId="0" applyNumberFormat="1" applyFont="1" applyFill="1" applyBorder="1" applyAlignment="1">
      <alignment horizontal="center" wrapText="1"/>
    </xf>
    <xf numFmtId="0" fontId="21" fillId="20" borderId="1" xfId="0" applyFont="1" applyFill="1" applyBorder="1" applyAlignment="1">
      <alignment wrapText="1"/>
    </xf>
    <xf numFmtId="0" fontId="11" fillId="19" borderId="1" xfId="0" applyFont="1" applyFill="1" applyBorder="1" applyAlignment="1">
      <alignment wrapText="1"/>
    </xf>
    <xf numFmtId="0" fontId="12" fillId="18" borderId="1" xfId="0" applyFont="1" applyFill="1" applyBorder="1" applyAlignment="1">
      <alignment wrapText="1"/>
    </xf>
    <xf numFmtId="0" fontId="21" fillId="16" borderId="1" xfId="0" applyFont="1" applyFill="1" applyBorder="1" applyAlignment="1">
      <alignment horizontal="center" wrapText="1"/>
    </xf>
    <xf numFmtId="0" fontId="25" fillId="18" borderId="1" xfId="0" applyFont="1" applyFill="1" applyBorder="1" applyAlignment="1">
      <alignment horizontal="left" wrapText="1"/>
    </xf>
    <xf numFmtId="0" fontId="11" fillId="18" borderId="1" xfId="0" applyFont="1" applyFill="1" applyBorder="1" applyAlignment="1">
      <alignment horizontal="left" wrapText="1"/>
    </xf>
    <xf numFmtId="0" fontId="11" fillId="18" borderId="1" xfId="0" applyFont="1" applyFill="1" applyBorder="1" applyAlignment="1">
      <alignment vertical="center" wrapText="1"/>
    </xf>
    <xf numFmtId="0" fontId="25" fillId="18" borderId="1" xfId="0" applyFont="1" applyFill="1" applyBorder="1" applyAlignment="1">
      <alignment wrapText="1"/>
    </xf>
    <xf numFmtId="0" fontId="20" fillId="0" borderId="1" xfId="0" applyFont="1" applyFill="1" applyBorder="1" applyAlignment="1">
      <alignment wrapText="1"/>
    </xf>
    <xf numFmtId="0" fontId="20" fillId="16" borderId="1" xfId="0" applyFont="1" applyFill="1" applyBorder="1" applyAlignment="1">
      <alignment wrapText="1"/>
    </xf>
    <xf numFmtId="0" fontId="11" fillId="22" borderId="1" xfId="0" applyFont="1" applyFill="1" applyBorder="1" applyAlignment="1">
      <alignment horizontal="left" wrapText="1"/>
    </xf>
    <xf numFmtId="0" fontId="11" fillId="16" borderId="1" xfId="0" applyFont="1" applyFill="1" applyBorder="1" applyAlignment="1">
      <alignment horizontal="center" wrapText="1"/>
    </xf>
    <xf numFmtId="0" fontId="11" fillId="21" borderId="1" xfId="0" applyFont="1" applyFill="1" applyBorder="1" applyAlignment="1">
      <alignment horizontal="center" wrapText="1"/>
    </xf>
    <xf numFmtId="0" fontId="11" fillId="16" borderId="7" xfId="0" applyFont="1" applyFill="1" applyBorder="1" applyAlignment="1">
      <alignment horizontal="center" wrapText="1"/>
    </xf>
    <xf numFmtId="0" fontId="11" fillId="22" borderId="67" xfId="0" applyFont="1" applyFill="1" applyBorder="1" applyAlignment="1">
      <alignment horizontal="center" wrapText="1"/>
    </xf>
    <xf numFmtId="0" fontId="0" fillId="25" borderId="53" xfId="0" applyFill="1" applyBorder="1" applyAlignment="1">
      <alignment horizontal="center" wrapText="1"/>
    </xf>
    <xf numFmtId="4" fontId="1" fillId="25" borderId="53" xfId="0" applyNumberFormat="1" applyFont="1" applyFill="1" applyBorder="1" applyAlignment="1">
      <alignment horizontal="center" wrapText="1"/>
    </xf>
    <xf numFmtId="0" fontId="1" fillId="16" borderId="50" xfId="0" applyFont="1" applyFill="1" applyBorder="1" applyAlignment="1">
      <alignment wrapText="1"/>
    </xf>
    <xf numFmtId="0" fontId="0" fillId="0" borderId="9" xfId="0" applyBorder="1" applyAlignment="1">
      <alignment wrapText="1"/>
    </xf>
    <xf numFmtId="0" fontId="0" fillId="0" borderId="0" xfId="0" applyFill="1" applyAlignment="1">
      <alignment wrapText="1"/>
    </xf>
    <xf numFmtId="0" fontId="0" fillId="0" borderId="17" xfId="0" applyFont="1" applyFill="1" applyBorder="1" applyAlignment="1">
      <alignment horizontal="center" wrapText="1"/>
    </xf>
    <xf numFmtId="1" fontId="12" fillId="0" borderId="2" xfId="0" applyNumberFormat="1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wrapText="1"/>
    </xf>
    <xf numFmtId="43" fontId="0" fillId="0" borderId="0" xfId="0" applyNumberFormat="1" applyAlignment="1"/>
    <xf numFmtId="4" fontId="0" fillId="0" borderId="0" xfId="0" applyNumberFormat="1" applyBorder="1" applyAlignment="1"/>
    <xf numFmtId="0" fontId="11" fillId="16" borderId="1" xfId="0" applyFont="1" applyFill="1" applyBorder="1" applyAlignment="1"/>
    <xf numFmtId="4" fontId="0" fillId="0" borderId="2" xfId="0" applyNumberFormat="1" applyFont="1" applyFill="1" applyBorder="1" applyAlignment="1">
      <alignment horizontal="center" wrapText="1"/>
    </xf>
    <xf numFmtId="0" fontId="12" fillId="16" borderId="1" xfId="0" applyFont="1" applyFill="1" applyBorder="1" applyAlignment="1">
      <alignment horizontal="left" wrapText="1"/>
    </xf>
    <xf numFmtId="10" fontId="1" fillId="30" borderId="26" xfId="2" applyNumberFormat="1" applyFont="1" applyFill="1" applyBorder="1" applyAlignment="1">
      <alignment horizontal="center" wrapText="1"/>
    </xf>
    <xf numFmtId="10" fontId="1" fillId="30" borderId="28" xfId="2" applyNumberFormat="1" applyFont="1" applyFill="1" applyBorder="1" applyAlignment="1">
      <alignment horizontal="center" wrapText="1"/>
    </xf>
    <xf numFmtId="10" fontId="1" fillId="30" borderId="41" xfId="2" applyNumberFormat="1" applyFont="1" applyFill="1" applyBorder="1" applyAlignment="1">
      <alignment horizontal="center" wrapText="1"/>
    </xf>
    <xf numFmtId="4" fontId="0" fillId="0" borderId="18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2" fillId="16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4" fontId="24" fillId="18" borderId="1" xfId="0" applyNumberFormat="1" applyFont="1" applyFill="1" applyBorder="1" applyAlignment="1">
      <alignment horizontal="center"/>
    </xf>
    <xf numFmtId="173" fontId="1" fillId="0" borderId="18" xfId="0" applyNumberFormat="1" applyFont="1" applyFill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" fillId="0" borderId="0" xfId="0" applyNumberFormat="1" applyFont="1" applyBorder="1" applyAlignment="1">
      <alignment horizontal="center" wrapText="1"/>
    </xf>
    <xf numFmtId="0" fontId="0" fillId="16" borderId="9" xfId="0" applyFill="1" applyBorder="1" applyAlignment="1">
      <alignment horizontal="center"/>
    </xf>
    <xf numFmtId="0" fontId="0" fillId="16" borderId="0" xfId="0" applyFont="1" applyFill="1" applyBorder="1" applyAlignment="1">
      <alignment horizontal="center"/>
    </xf>
    <xf numFmtId="0" fontId="0" fillId="16" borderId="50" xfId="0" applyFill="1" applyBorder="1" applyAlignment="1">
      <alignment horizontal="center"/>
    </xf>
    <xf numFmtId="0" fontId="26" fillId="0" borderId="0" xfId="0" applyFont="1" applyAlignment="1">
      <alignment wrapText="1"/>
    </xf>
    <xf numFmtId="4" fontId="24" fillId="0" borderId="18" xfId="0" applyNumberFormat="1" applyFont="1" applyFill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4" fontId="19" fillId="20" borderId="18" xfId="0" applyNumberFormat="1" applyFont="1" applyFill="1" applyBorder="1" applyAlignment="1">
      <alignment horizontal="center"/>
    </xf>
    <xf numFmtId="4" fontId="1" fillId="22" borderId="1" xfId="0" applyNumberFormat="1" applyFont="1" applyFill="1" applyBorder="1" applyAlignment="1">
      <alignment horizontal="center"/>
    </xf>
    <xf numFmtId="4" fontId="19" fillId="0" borderId="4" xfId="0" applyNumberFormat="1" applyFont="1" applyFill="1" applyBorder="1" applyAlignment="1">
      <alignment horizontal="center"/>
    </xf>
    <xf numFmtId="0" fontId="12" fillId="16" borderId="1" xfId="0" applyFont="1" applyFill="1" applyBorder="1" applyAlignment="1">
      <alignment wrapText="1"/>
    </xf>
    <xf numFmtId="0" fontId="12" fillId="0" borderId="18" xfId="0" applyFont="1" applyFill="1" applyBorder="1" applyAlignment="1">
      <alignment horizontal="center"/>
    </xf>
    <xf numFmtId="0" fontId="12" fillId="0" borderId="1" xfId="0" applyFont="1" applyFill="1" applyBorder="1" applyAlignment="1">
      <alignment wrapText="1"/>
    </xf>
    <xf numFmtId="0" fontId="11" fillId="18" borderId="1" xfId="0" applyFont="1" applyFill="1" applyBorder="1" applyAlignment="1">
      <alignment wrapText="1"/>
    </xf>
    <xf numFmtId="0" fontId="25" fillId="22" borderId="1" xfId="0" applyFont="1" applyFill="1" applyBorder="1" applyAlignment="1">
      <alignment wrapText="1"/>
    </xf>
    <xf numFmtId="4" fontId="1" fillId="21" borderId="1" xfId="0" applyNumberFormat="1" applyFont="1" applyFill="1" applyBorder="1" applyAlignment="1">
      <alignment horizontal="center"/>
    </xf>
    <xf numFmtId="4" fontId="1" fillId="21" borderId="64" xfId="2" applyNumberFormat="1" applyFont="1" applyFill="1" applyBorder="1" applyAlignment="1">
      <alignment horizontal="center"/>
    </xf>
    <xf numFmtId="9" fontId="12" fillId="16" borderId="2" xfId="2" applyFont="1" applyFill="1" applyBorder="1" applyAlignment="1">
      <alignment horizontal="center"/>
    </xf>
    <xf numFmtId="4" fontId="19" fillId="0" borderId="18" xfId="0" applyNumberFormat="1" applyFont="1" applyFill="1" applyBorder="1" applyAlignment="1">
      <alignment horizontal="center"/>
    </xf>
    <xf numFmtId="4" fontId="1" fillId="21" borderId="18" xfId="0" applyNumberFormat="1" applyFont="1" applyFill="1" applyBorder="1" applyAlignment="1">
      <alignment horizontal="center"/>
    </xf>
    <xf numFmtId="4" fontId="1" fillId="18" borderId="18" xfId="0" applyNumberFormat="1" applyFont="1" applyFill="1" applyBorder="1" applyAlignment="1">
      <alignment horizontal="center"/>
    </xf>
    <xf numFmtId="4" fontId="1" fillId="19" borderId="18" xfId="0" applyNumberFormat="1" applyFont="1" applyFill="1" applyBorder="1" applyAlignment="1">
      <alignment horizontal="center"/>
    </xf>
    <xf numFmtId="3" fontId="1" fillId="18" borderId="18" xfId="0" applyNumberFormat="1" applyFont="1" applyFill="1" applyBorder="1" applyAlignment="1">
      <alignment horizontal="center"/>
    </xf>
    <xf numFmtId="4" fontId="1" fillId="22" borderId="18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4" fontId="0" fillId="0" borderId="18" xfId="0" applyNumberFormat="1" applyFill="1" applyBorder="1" applyAlignment="1">
      <alignment horizontal="center"/>
    </xf>
    <xf numFmtId="4" fontId="19" fillId="0" borderId="18" xfId="1" applyNumberFormat="1" applyFont="1" applyFill="1" applyBorder="1" applyAlignment="1">
      <alignment horizontal="center"/>
    </xf>
    <xf numFmtId="4" fontId="1" fillId="0" borderId="4" xfId="0" applyNumberFormat="1" applyFont="1" applyFill="1" applyBorder="1" applyAlignment="1">
      <alignment horizontal="center"/>
    </xf>
    <xf numFmtId="4" fontId="0" fillId="0" borderId="4" xfId="1" applyNumberFormat="1" applyFont="1" applyFill="1" applyBorder="1" applyAlignment="1">
      <alignment horizontal="center"/>
    </xf>
    <xf numFmtId="4" fontId="0" fillId="0" borderId="4" xfId="1" applyNumberFormat="1" applyFont="1" applyBorder="1" applyAlignment="1">
      <alignment horizontal="center"/>
    </xf>
    <xf numFmtId="4" fontId="7" fillId="0" borderId="1" xfId="1" applyNumberFormat="1" applyFont="1" applyFill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1" fillId="0" borderId="1" xfId="0" applyNumberFormat="1" applyFont="1" applyFill="1" applyBorder="1" applyAlignment="1">
      <alignment horizontal="center"/>
    </xf>
    <xf numFmtId="4" fontId="0" fillId="0" borderId="4" xfId="0" applyNumberFormat="1" applyFont="1" applyFill="1" applyBorder="1" applyAlignment="1">
      <alignment horizontal="center"/>
    </xf>
    <xf numFmtId="4" fontId="0" fillId="0" borderId="1" xfId="1" applyNumberFormat="1" applyFont="1" applyFill="1" applyBorder="1" applyAlignment="1">
      <alignment horizontal="center"/>
    </xf>
    <xf numFmtId="4" fontId="3" fillId="0" borderId="1" xfId="2" applyNumberFormat="1" applyFont="1" applyFill="1" applyBorder="1" applyAlignment="1">
      <alignment horizontal="center"/>
    </xf>
    <xf numFmtId="4" fontId="3" fillId="0" borderId="18" xfId="1" applyNumberFormat="1" applyFont="1" applyFill="1" applyBorder="1" applyAlignment="1">
      <alignment horizontal="center"/>
    </xf>
    <xf numFmtId="4" fontId="3" fillId="0" borderId="1" xfId="1" applyNumberFormat="1" applyFont="1" applyFill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4" fontId="3" fillId="0" borderId="1" xfId="0" applyNumberFormat="1" applyFont="1" applyFill="1" applyBorder="1" applyAlignment="1">
      <alignment horizontal="center"/>
    </xf>
    <xf numFmtId="4" fontId="2" fillId="0" borderId="1" xfId="1" applyNumberFormat="1" applyFont="1" applyFill="1" applyBorder="1" applyAlignment="1">
      <alignment horizontal="center"/>
    </xf>
    <xf numFmtId="4" fontId="0" fillId="0" borderId="1" xfId="0" applyNumberFormat="1" applyFont="1" applyFill="1" applyBorder="1" applyAlignment="1">
      <alignment horizontal="center"/>
    </xf>
    <xf numFmtId="4" fontId="0" fillId="0" borderId="2" xfId="0" applyNumberFormat="1" applyFont="1" applyFill="1" applyBorder="1" applyAlignment="1">
      <alignment horizontal="center"/>
    </xf>
    <xf numFmtId="4" fontId="1" fillId="0" borderId="18" xfId="0" applyNumberFormat="1" applyFont="1" applyFill="1" applyBorder="1" applyAlignment="1">
      <alignment horizontal="center"/>
    </xf>
    <xf numFmtId="4" fontId="0" fillId="0" borderId="18" xfId="1" applyNumberFormat="1" applyFont="1" applyFill="1" applyBorder="1" applyAlignment="1">
      <alignment horizontal="center"/>
    </xf>
    <xf numFmtId="4" fontId="0" fillId="0" borderId="18" xfId="0" applyNumberFormat="1" applyFont="1" applyFill="1" applyBorder="1" applyAlignment="1">
      <alignment horizontal="center"/>
    </xf>
    <xf numFmtId="0" fontId="11" fillId="22" borderId="1" xfId="0" applyFont="1" applyFill="1" applyBorder="1" applyAlignment="1">
      <alignment wrapText="1"/>
    </xf>
    <xf numFmtId="4" fontId="1" fillId="0" borderId="65" xfId="2" applyNumberFormat="1" applyFont="1" applyFill="1" applyBorder="1" applyAlignment="1">
      <alignment horizontal="center"/>
    </xf>
    <xf numFmtId="0" fontId="12" fillId="26" borderId="1" xfId="0" applyFont="1" applyFill="1" applyBorder="1" applyAlignment="1">
      <alignment wrapText="1"/>
    </xf>
    <xf numFmtId="0" fontId="0" fillId="0" borderId="0" xfId="0" applyAlignment="1"/>
    <xf numFmtId="0" fontId="12" fillId="26" borderId="18" xfId="0" applyFont="1" applyFill="1" applyBorder="1" applyAlignment="1">
      <alignment horizontal="center" wrapText="1"/>
    </xf>
    <xf numFmtId="4" fontId="11" fillId="0" borderId="1" xfId="0" applyNumberFormat="1" applyFont="1" applyFill="1" applyBorder="1" applyAlignment="1">
      <alignment wrapText="1"/>
    </xf>
    <xf numFmtId="0" fontId="1" fillId="0" borderId="17" xfId="0" applyFont="1" applyFill="1" applyBorder="1" applyAlignment="1">
      <alignment horizontal="center" wrapText="1"/>
    </xf>
    <xf numFmtId="10" fontId="1" fillId="30" borderId="27" xfId="2" applyNumberFormat="1" applyFont="1" applyFill="1" applyBorder="1" applyAlignment="1">
      <alignment horizontal="center" wrapText="1"/>
    </xf>
    <xf numFmtId="10" fontId="1" fillId="30" borderId="1" xfId="2" applyNumberFormat="1" applyFont="1" applyFill="1" applyBorder="1" applyAlignment="1">
      <alignment horizontal="center" wrapText="1"/>
    </xf>
    <xf numFmtId="0" fontId="0" fillId="30" borderId="1" xfId="0" applyFill="1" applyBorder="1" applyAlignment="1">
      <alignment horizontal="center"/>
    </xf>
    <xf numFmtId="0" fontId="0" fillId="0" borderId="0" xfId="0"/>
    <xf numFmtId="0" fontId="0" fillId="0" borderId="1" xfId="0" applyBorder="1" applyAlignment="1">
      <alignment horizontal="right"/>
    </xf>
    <xf numFmtId="43" fontId="1" fillId="0" borderId="1" xfId="0" applyNumberFormat="1" applyFont="1" applyBorder="1" applyAlignment="1">
      <alignment horizontal="right"/>
    </xf>
    <xf numFmtId="4" fontId="1" fillId="25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/>
    <xf numFmtId="0" fontId="12" fillId="0" borderId="1" xfId="0" applyFont="1" applyFill="1" applyBorder="1" applyAlignment="1"/>
    <xf numFmtId="170" fontId="0" fillId="0" borderId="0" xfId="0" applyNumberFormat="1"/>
    <xf numFmtId="44" fontId="10" fillId="0" borderId="49" xfId="395" applyFont="1" applyBorder="1" applyAlignment="1">
      <alignment horizontal="center"/>
    </xf>
    <xf numFmtId="0" fontId="10" fillId="0" borderId="49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0" fillId="0" borderId="0" xfId="0"/>
    <xf numFmtId="0" fontId="0" fillId="0" borderId="1" xfId="0" applyBorder="1"/>
    <xf numFmtId="1" fontId="3" fillId="0" borderId="1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4" xfId="0" applyFont="1" applyBorder="1" applyAlignment="1">
      <alignment horizontal="center"/>
    </xf>
    <xf numFmtId="43" fontId="0" fillId="0" borderId="2" xfId="1" applyFont="1" applyFill="1" applyBorder="1"/>
    <xf numFmtId="43" fontId="0" fillId="0" borderId="2" xfId="1" applyFont="1" applyBorder="1"/>
    <xf numFmtId="43" fontId="0" fillId="0" borderId="17" xfId="1" applyFont="1" applyFill="1" applyBorder="1"/>
    <xf numFmtId="1" fontId="0" fillId="0" borderId="1" xfId="0" applyNumberFormat="1" applyFont="1" applyFill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6" xfId="0" applyFont="1" applyFill="1" applyBorder="1"/>
    <xf numFmtId="0" fontId="0" fillId="0" borderId="1" xfId="0" applyFont="1" applyFill="1" applyBorder="1"/>
    <xf numFmtId="0" fontId="0" fillId="0" borderId="1" xfId="0" applyFont="1" applyBorder="1"/>
    <xf numFmtId="0" fontId="1" fillId="2" borderId="2" xfId="0" applyFont="1" applyFill="1" applyBorder="1"/>
    <xf numFmtId="0" fontId="1" fillId="2" borderId="6" xfId="0" applyFont="1" applyFill="1" applyBorder="1"/>
    <xf numFmtId="0" fontId="0" fillId="2" borderId="1" xfId="0" applyFont="1" applyFill="1" applyBorder="1"/>
    <xf numFmtId="0" fontId="0" fillId="2" borderId="1" xfId="0" applyFill="1" applyBorder="1" applyAlignment="1">
      <alignment horizontal="center"/>
    </xf>
    <xf numFmtId="43" fontId="0" fillId="2" borderId="17" xfId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43" fontId="0" fillId="2" borderId="17" xfId="1" applyFont="1" applyFill="1" applyBorder="1"/>
    <xf numFmtId="43" fontId="1" fillId="2" borderId="17" xfId="1" applyFont="1" applyFill="1" applyBorder="1"/>
    <xf numFmtId="0" fontId="0" fillId="2" borderId="18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1" fontId="0" fillId="2" borderId="1" xfId="0" applyNumberFormat="1" applyFont="1" applyFill="1" applyBorder="1" applyAlignment="1">
      <alignment horizontal="center"/>
    </xf>
    <xf numFmtId="43" fontId="0" fillId="2" borderId="2" xfId="1" applyFont="1" applyFill="1" applyBorder="1" applyAlignment="1">
      <alignment horizontal="center"/>
    </xf>
    <xf numFmtId="43" fontId="0" fillId="2" borderId="2" xfId="1" applyFont="1" applyFill="1" applyBorder="1"/>
    <xf numFmtId="0" fontId="1" fillId="2" borderId="13" xfId="0" applyFont="1" applyFill="1" applyBorder="1" applyAlignment="1"/>
    <xf numFmtId="0" fontId="1" fillId="2" borderId="3" xfId="0" applyFont="1" applyFill="1" applyBorder="1" applyAlignment="1"/>
    <xf numFmtId="43" fontId="1" fillId="2" borderId="4" xfId="0" applyNumberFormat="1" applyFont="1" applyFill="1" applyBorder="1" applyAlignment="1"/>
    <xf numFmtId="0" fontId="0" fillId="0" borderId="41" xfId="0" applyFont="1" applyBorder="1"/>
    <xf numFmtId="1" fontId="0" fillId="0" borderId="0" xfId="0" applyNumberFormat="1" applyFont="1"/>
    <xf numFmtId="0" fontId="0" fillId="0" borderId="13" xfId="0" applyBorder="1" applyAlignment="1">
      <alignment horizontal="center"/>
    </xf>
    <xf numFmtId="49" fontId="1" fillId="2" borderId="70" xfId="0" applyNumberFormat="1" applyFont="1" applyFill="1" applyBorder="1" applyAlignment="1">
      <alignment horizontal="right"/>
    </xf>
    <xf numFmtId="0" fontId="1" fillId="2" borderId="57" xfId="0" applyFont="1" applyFill="1" applyBorder="1"/>
    <xf numFmtId="0" fontId="1" fillId="2" borderId="34" xfId="0" applyFont="1" applyFill="1" applyBorder="1" applyAlignment="1">
      <alignment wrapText="1"/>
    </xf>
    <xf numFmtId="0" fontId="1" fillId="2" borderId="0" xfId="0" applyFont="1" applyFill="1" applyBorder="1"/>
    <xf numFmtId="1" fontId="1" fillId="2" borderId="0" xfId="0" applyNumberFormat="1" applyFont="1" applyFill="1" applyBorder="1" applyAlignment="1">
      <alignment horizontal="center"/>
    </xf>
    <xf numFmtId="0" fontId="0" fillId="0" borderId="8" xfId="0" applyFont="1" applyBorder="1"/>
    <xf numFmtId="0" fontId="0" fillId="0" borderId="9" xfId="0" applyFont="1" applyBorder="1"/>
    <xf numFmtId="1" fontId="0" fillId="0" borderId="9" xfId="0" applyNumberFormat="1" applyFont="1" applyBorder="1" applyAlignment="1">
      <alignment horizontal="center"/>
    </xf>
    <xf numFmtId="43" fontId="0" fillId="0" borderId="9" xfId="1" applyFont="1" applyBorder="1"/>
    <xf numFmtId="43" fontId="0" fillId="0" borderId="10" xfId="1" applyFont="1" applyBorder="1"/>
    <xf numFmtId="0" fontId="0" fillId="0" borderId="48" xfId="0" applyFont="1" applyBorder="1"/>
    <xf numFmtId="0" fontId="0" fillId="0" borderId="50" xfId="0" applyFont="1" applyBorder="1"/>
    <xf numFmtId="1" fontId="0" fillId="0" borderId="50" xfId="0" applyNumberFormat="1" applyFont="1" applyBorder="1" applyAlignment="1">
      <alignment horizontal="center"/>
    </xf>
    <xf numFmtId="43" fontId="0" fillId="0" borderId="50" xfId="1" applyFont="1" applyBorder="1"/>
    <xf numFmtId="43" fontId="0" fillId="0" borderId="49" xfId="1" applyFont="1" applyBorder="1"/>
    <xf numFmtId="43" fontId="0" fillId="0" borderId="3" xfId="1" applyFont="1" applyBorder="1"/>
    <xf numFmtId="1" fontId="3" fillId="0" borderId="3" xfId="0" applyNumberFormat="1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3" xfId="0" applyBorder="1"/>
    <xf numFmtId="0" fontId="0" fillId="0" borderId="0" xfId="0"/>
    <xf numFmtId="43" fontId="0" fillId="0" borderId="0" xfId="0" applyNumberFormat="1"/>
    <xf numFmtId="0" fontId="12" fillId="16" borderId="1" xfId="0" applyFont="1" applyFill="1" applyBorder="1"/>
    <xf numFmtId="0" fontId="12" fillId="16" borderId="18" xfId="0" applyFont="1" applyFill="1" applyBorder="1" applyAlignment="1">
      <alignment horizontal="center"/>
    </xf>
    <xf numFmtId="4" fontId="0" fillId="0" borderId="1" xfId="0" applyNumberFormat="1" applyBorder="1" applyAlignment="1">
      <alignment horizontal="right"/>
    </xf>
    <xf numFmtId="4" fontId="0" fillId="0" borderId="1" xfId="0" applyNumberFormat="1" applyBorder="1" applyAlignment="1"/>
    <xf numFmtId="0" fontId="0" fillId="0" borderId="9" xfId="0" applyBorder="1" applyAlignment="1">
      <alignment horizontal="right"/>
    </xf>
    <xf numFmtId="0" fontId="0" fillId="0" borderId="0" xfId="0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2" borderId="50" xfId="0" applyFont="1" applyFill="1" applyBorder="1" applyAlignment="1">
      <alignment horizontal="right"/>
    </xf>
    <xf numFmtId="0" fontId="1" fillId="2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49" fontId="24" fillId="16" borderId="1" xfId="0" applyNumberFormat="1" applyFont="1" applyFill="1" applyBorder="1" applyAlignment="1">
      <alignment horizontal="center" vertical="center"/>
    </xf>
    <xf numFmtId="4" fontId="0" fillId="0" borderId="1" xfId="0" applyNumberFormat="1" applyFill="1" applyBorder="1" applyAlignment="1">
      <alignment horizontal="right"/>
    </xf>
    <xf numFmtId="43" fontId="1" fillId="0" borderId="17" xfId="0" applyNumberFormat="1" applyFont="1" applyFill="1" applyBorder="1" applyAlignment="1">
      <alignment horizontal="right"/>
    </xf>
    <xf numFmtId="9" fontId="11" fillId="0" borderId="1" xfId="2" applyFont="1" applyFill="1" applyBorder="1"/>
    <xf numFmtId="0" fontId="12" fillId="0" borderId="1" xfId="0" applyFont="1" applyFill="1" applyBorder="1" applyAlignment="1">
      <alignment horizontal="left" wrapText="1"/>
    </xf>
    <xf numFmtId="43" fontId="11" fillId="25" borderId="53" xfId="0" applyNumberFormat="1" applyFont="1" applyFill="1" applyBorder="1" applyAlignment="1">
      <alignment horizontal="center" vertical="center" wrapText="1"/>
    </xf>
    <xf numFmtId="43" fontId="0" fillId="0" borderId="21" xfId="0" applyNumberFormat="1" applyBorder="1"/>
    <xf numFmtId="43" fontId="11" fillId="22" borderId="1" xfId="0" applyNumberFormat="1" applyFont="1" applyFill="1" applyBorder="1" applyAlignment="1">
      <alignment horizontal="center"/>
    </xf>
    <xf numFmtId="43" fontId="0" fillId="0" borderId="18" xfId="0" applyNumberFormat="1" applyBorder="1"/>
    <xf numFmtId="43" fontId="0" fillId="0" borderId="18" xfId="0" applyNumberFormat="1" applyBorder="1" applyAlignment="1">
      <alignment horizontal="right"/>
    </xf>
    <xf numFmtId="43" fontId="0" fillId="0" borderId="18" xfId="0" applyNumberFormat="1" applyFill="1" applyBorder="1" applyAlignment="1">
      <alignment horizontal="right"/>
    </xf>
    <xf numFmtId="43" fontId="1" fillId="23" borderId="18" xfId="0" applyNumberFormat="1" applyFont="1" applyFill="1" applyBorder="1"/>
    <xf numFmtId="43" fontId="0" fillId="22" borderId="18" xfId="0" applyNumberFormat="1" applyFill="1" applyBorder="1" applyAlignment="1">
      <alignment horizontal="right"/>
    </xf>
    <xf numFmtId="43" fontId="0" fillId="0" borderId="18" xfId="0" applyNumberFormat="1" applyBorder="1" applyAlignment="1"/>
    <xf numFmtId="43" fontId="0" fillId="23" borderId="18" xfId="0" applyNumberFormat="1" applyFill="1" applyBorder="1"/>
    <xf numFmtId="43" fontId="0" fillId="22" borderId="18" xfId="0" applyNumberFormat="1" applyFill="1" applyBorder="1"/>
    <xf numFmtId="43" fontId="0" fillId="0" borderId="18" xfId="0" applyNumberFormat="1" applyFill="1" applyBorder="1"/>
    <xf numFmtId="43" fontId="12" fillId="22" borderId="2" xfId="2" applyNumberFormat="1" applyFont="1" applyFill="1" applyBorder="1" applyAlignment="1">
      <alignment horizontal="right" vertical="center"/>
    </xf>
    <xf numFmtId="43" fontId="11" fillId="22" borderId="2" xfId="0" applyNumberFormat="1" applyFont="1" applyFill="1" applyBorder="1"/>
    <xf numFmtId="43" fontId="0" fillId="0" borderId="63" xfId="0" applyNumberFormat="1" applyBorder="1"/>
    <xf numFmtId="43" fontId="0" fillId="24" borderId="66" xfId="0" applyNumberFormat="1" applyFill="1" applyBorder="1"/>
    <xf numFmtId="0" fontId="0" fillId="0" borderId="1" xfId="0" applyFill="1" applyBorder="1" applyAlignment="1">
      <alignment horizontal="center"/>
    </xf>
    <xf numFmtId="175" fontId="1" fillId="0" borderId="0" xfId="0" applyNumberFormat="1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center"/>
    </xf>
    <xf numFmtId="4" fontId="1" fillId="0" borderId="0" xfId="0" applyNumberFormat="1" applyFont="1" applyFill="1" applyAlignment="1">
      <alignment horizontal="center"/>
    </xf>
    <xf numFmtId="4" fontId="1" fillId="0" borderId="0" xfId="0" applyNumberFormat="1" applyFont="1" applyFill="1" applyBorder="1" applyAlignment="1">
      <alignment horizontal="center" wrapText="1"/>
    </xf>
    <xf numFmtId="4" fontId="0" fillId="0" borderId="0" xfId="0" applyNumberFormat="1" applyFont="1" applyFill="1" applyBorder="1" applyAlignment="1">
      <alignment horizontal="center" wrapText="1"/>
    </xf>
    <xf numFmtId="43" fontId="0" fillId="0" borderId="0" xfId="0" applyNumberForma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43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left"/>
    </xf>
    <xf numFmtId="43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2" fontId="1" fillId="0" borderId="0" xfId="0" applyNumberFormat="1" applyFont="1" applyFill="1" applyAlignment="1">
      <alignment horizontal="right"/>
    </xf>
    <xf numFmtId="43" fontId="1" fillId="0" borderId="0" xfId="0" applyNumberFormat="1" applyFont="1" applyFill="1" applyAlignment="1"/>
    <xf numFmtId="43" fontId="1" fillId="0" borderId="0" xfId="0" applyNumberFormat="1" applyFont="1" applyFill="1" applyAlignment="1">
      <alignment horizontal="center"/>
    </xf>
    <xf numFmtId="10" fontId="0" fillId="0" borderId="1" xfId="2" applyNumberFormat="1" applyFont="1" applyFill="1" applyBorder="1" applyAlignment="1">
      <alignment horizontal="right"/>
    </xf>
    <xf numFmtId="0" fontId="12" fillId="26" borderId="1" xfId="0" applyFont="1" applyFill="1" applyBorder="1" applyAlignment="1">
      <alignment horizontal="center" wrapText="1"/>
    </xf>
    <xf numFmtId="3" fontId="1" fillId="22" borderId="18" xfId="0" applyNumberFormat="1" applyFont="1" applyFill="1" applyBorder="1" applyAlignment="1">
      <alignment horizontal="center"/>
    </xf>
    <xf numFmtId="0" fontId="25" fillId="22" borderId="1" xfId="0" applyFont="1" applyFill="1" applyBorder="1" applyAlignment="1">
      <alignment horizontal="left" wrapText="1"/>
    </xf>
    <xf numFmtId="0" fontId="3" fillId="0" borderId="18" xfId="0" applyFont="1" applyFill="1" applyBorder="1" applyAlignment="1">
      <alignment horizontal="center" vertical="center"/>
    </xf>
    <xf numFmtId="0" fontId="0" fillId="0" borderId="19" xfId="0" applyFill="1" applyBorder="1"/>
    <xf numFmtId="0" fontId="10" fillId="0" borderId="41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31" fillId="0" borderId="0" xfId="400" applyAlignment="1" applyProtection="1"/>
    <xf numFmtId="10" fontId="0" fillId="0" borderId="0" xfId="2" applyNumberFormat="1" applyFont="1" applyAlignment="1">
      <alignment vertical="center"/>
    </xf>
    <xf numFmtId="17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0" fontId="11" fillId="22" borderId="1" xfId="2" applyNumberFormat="1" applyFont="1" applyFill="1" applyBorder="1" applyAlignment="1">
      <alignment horizontal="center" vertical="center"/>
    </xf>
    <xf numFmtId="2" fontId="11" fillId="22" borderId="2" xfId="2" applyNumberFormat="1" applyFont="1" applyFill="1" applyBorder="1" applyAlignment="1">
      <alignment horizontal="center" vertical="center"/>
    </xf>
    <xf numFmtId="0" fontId="1" fillId="22" borderId="0" xfId="0" applyFont="1" applyFill="1" applyAlignment="1">
      <alignment horizontal="center"/>
    </xf>
    <xf numFmtId="176" fontId="0" fillId="0" borderId="0" xfId="0" applyNumberFormat="1"/>
    <xf numFmtId="177" fontId="12" fillId="21" borderId="1" xfId="0" applyNumberFormat="1" applyFont="1" applyFill="1" applyBorder="1" applyAlignment="1">
      <alignment horizontal="center"/>
    </xf>
    <xf numFmtId="177" fontId="12" fillId="23" borderId="2" xfId="0" applyNumberFormat="1" applyFont="1" applyFill="1" applyBorder="1" applyAlignment="1">
      <alignment horizontal="center"/>
    </xf>
    <xf numFmtId="177" fontId="12" fillId="22" borderId="1" xfId="2" applyNumberFormat="1" applyFont="1" applyFill="1" applyBorder="1" applyAlignment="1">
      <alignment horizontal="center"/>
    </xf>
    <xf numFmtId="10" fontId="11" fillId="24" borderId="68" xfId="0" applyNumberFormat="1" applyFont="1" applyFill="1" applyBorder="1" applyAlignment="1">
      <alignment horizontal="center"/>
    </xf>
    <xf numFmtId="10" fontId="11" fillId="21" borderId="1" xfId="0" applyNumberFormat="1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 vertical="center"/>
    </xf>
    <xf numFmtId="169" fontId="0" fillId="16" borderId="1" xfId="395" applyNumberFormat="1" applyFont="1" applyFill="1" applyBorder="1" applyAlignment="1">
      <alignment vertical="center"/>
    </xf>
    <xf numFmtId="0" fontId="0" fillId="16" borderId="1" xfId="0" applyFont="1" applyFill="1" applyBorder="1" applyAlignment="1">
      <alignment vertical="center" wrapText="1"/>
    </xf>
    <xf numFmtId="0" fontId="0" fillId="16" borderId="1" xfId="0" applyFont="1" applyFill="1" applyBorder="1" applyAlignment="1">
      <alignment horizontal="center" vertical="center"/>
    </xf>
    <xf numFmtId="165" fontId="2" fillId="16" borderId="1" xfId="395" applyNumberFormat="1" applyFont="1" applyFill="1" applyBorder="1" applyAlignment="1">
      <alignment vertical="center"/>
    </xf>
    <xf numFmtId="44" fontId="0" fillId="16" borderId="17" xfId="0" applyNumberFormat="1" applyFont="1" applyFill="1" applyBorder="1" applyAlignment="1">
      <alignment vertical="center"/>
    </xf>
    <xf numFmtId="0" fontId="1" fillId="17" borderId="1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16" borderId="21" xfId="0" applyFill="1" applyBorder="1" applyAlignment="1">
      <alignment horizontal="center" vertical="center"/>
    </xf>
    <xf numFmtId="0" fontId="11" fillId="23" borderId="18" xfId="0" applyFont="1" applyFill="1" applyBorder="1" applyAlignment="1">
      <alignment horizontal="center" vertical="center"/>
    </xf>
    <xf numFmtId="0" fontId="25" fillId="22" borderId="18" xfId="0" applyFont="1" applyFill="1" applyBorder="1" applyAlignment="1">
      <alignment horizontal="center" vertical="center"/>
    </xf>
    <xf numFmtId="0" fontId="12" fillId="18" borderId="18" xfId="0" applyFont="1" applyFill="1" applyBorder="1" applyAlignment="1">
      <alignment horizontal="center" vertical="center"/>
    </xf>
    <xf numFmtId="0" fontId="11" fillId="22" borderId="1" xfId="0" applyFont="1" applyFill="1" applyBorder="1" applyAlignment="1">
      <alignment horizontal="center" vertical="center"/>
    </xf>
    <xf numFmtId="0" fontId="12" fillId="23" borderId="18" xfId="0" applyFont="1" applyFill="1" applyBorder="1" applyAlignment="1">
      <alignment horizontal="center" vertical="center"/>
    </xf>
    <xf numFmtId="0" fontId="12" fillId="16" borderId="63" xfId="0" applyFont="1" applyFill="1" applyBorder="1" applyAlignment="1">
      <alignment horizontal="center" vertical="center"/>
    </xf>
    <xf numFmtId="0" fontId="12" fillId="24" borderId="66" xfId="0" applyFont="1" applyFill="1" applyBorder="1" applyAlignment="1">
      <alignment horizontal="center" vertical="center"/>
    </xf>
    <xf numFmtId="4" fontId="0" fillId="0" borderId="7" xfId="0" applyNumberFormat="1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4" fontId="0" fillId="0" borderId="1" xfId="0" applyNumberFormat="1" applyFont="1" applyFill="1" applyBorder="1" applyAlignment="1">
      <alignment vertical="center"/>
    </xf>
    <xf numFmtId="4" fontId="0" fillId="0" borderId="6" xfId="0" applyNumberFormat="1" applyFont="1" applyBorder="1" applyAlignment="1">
      <alignment vertical="center"/>
    </xf>
    <xf numFmtId="4" fontId="0" fillId="0" borderId="7" xfId="0" applyNumberFormat="1" applyFont="1" applyBorder="1" applyAlignment="1">
      <alignment vertical="center" wrapText="1"/>
    </xf>
    <xf numFmtId="4" fontId="2" fillId="0" borderId="1" xfId="1" applyNumberFormat="1" applyFont="1" applyBorder="1" applyAlignment="1">
      <alignment vertical="center"/>
    </xf>
    <xf numFmtId="4" fontId="2" fillId="0" borderId="1" xfId="1" applyNumberFormat="1" applyFont="1" applyFill="1" applyBorder="1" applyAlignment="1">
      <alignment vertical="center"/>
    </xf>
    <xf numFmtId="43" fontId="0" fillId="0" borderId="1" xfId="1" applyFont="1" applyFill="1" applyBorder="1" applyAlignment="1">
      <alignment vertical="center"/>
    </xf>
    <xf numFmtId="43" fontId="0" fillId="0" borderId="6" xfId="1" applyFont="1" applyFill="1" applyBorder="1" applyAlignment="1">
      <alignment vertical="center"/>
    </xf>
    <xf numFmtId="43" fontId="0" fillId="0" borderId="6" xfId="1" applyFont="1" applyBorder="1" applyAlignment="1">
      <alignment vertical="center"/>
    </xf>
    <xf numFmtId="4" fontId="0" fillId="0" borderId="16" xfId="0" applyNumberFormat="1" applyBorder="1" applyAlignment="1">
      <alignment horizontal="center" vertical="center"/>
    </xf>
    <xf numFmtId="4" fontId="0" fillId="0" borderId="17" xfId="0" applyNumberFormat="1" applyBorder="1" applyAlignment="1">
      <alignment horizontal="center" vertical="center"/>
    </xf>
    <xf numFmtId="4" fontId="0" fillId="0" borderId="17" xfId="0" applyNumberFormat="1" applyFill="1" applyBorder="1" applyAlignment="1">
      <alignment horizontal="center" vertical="center"/>
    </xf>
    <xf numFmtId="4" fontId="0" fillId="0" borderId="59" xfId="0" applyNumberForma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1" fillId="0" borderId="18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1" fillId="0" borderId="64" xfId="0" applyFont="1" applyFill="1" applyBorder="1" applyAlignment="1">
      <alignment horizontal="center" vertical="center"/>
    </xf>
    <xf numFmtId="0" fontId="1" fillId="0" borderId="63" xfId="0" applyFont="1" applyFill="1" applyBorder="1" applyAlignment="1">
      <alignment horizontal="center" vertical="center"/>
    </xf>
    <xf numFmtId="0" fontId="0" fillId="0" borderId="6" xfId="0" applyFill="1" applyBorder="1" applyAlignment="1">
      <alignment vertical="center" wrapText="1"/>
    </xf>
    <xf numFmtId="0" fontId="1" fillId="0" borderId="6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25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5" borderId="27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4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0" fillId="0" borderId="1" xfId="2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1" fontId="1" fillId="2" borderId="2" xfId="0" applyNumberFormat="1" applyFont="1" applyFill="1" applyBorder="1" applyAlignment="1">
      <alignment horizontal="center" vertical="center"/>
    </xf>
    <xf numFmtId="1" fontId="1" fillId="2" borderId="3" xfId="0" applyNumberFormat="1" applyFont="1" applyFill="1" applyBorder="1" applyAlignment="1">
      <alignment horizontal="center" vertical="center"/>
    </xf>
    <xf numFmtId="1" fontId="1" fillId="2" borderId="4" xfId="0" applyNumberFormat="1" applyFont="1" applyFill="1" applyBorder="1" applyAlignment="1">
      <alignment horizontal="center" vertical="center"/>
    </xf>
    <xf numFmtId="43" fontId="1" fillId="2" borderId="6" xfId="0" applyNumberFormat="1" applyFont="1" applyFill="1" applyBorder="1" applyAlignment="1">
      <alignment horizontal="center" vertical="center" wrapText="1"/>
    </xf>
    <xf numFmtId="43" fontId="1" fillId="2" borderId="65" xfId="0" applyNumberFormat="1" applyFont="1" applyFill="1" applyBorder="1" applyAlignment="1">
      <alignment horizontal="center" vertical="center" wrapText="1"/>
    </xf>
    <xf numFmtId="43" fontId="1" fillId="2" borderId="7" xfId="0" applyNumberFormat="1" applyFont="1" applyFill="1" applyBorder="1" applyAlignment="1">
      <alignment horizontal="center" vertical="center" wrapText="1"/>
    </xf>
    <xf numFmtId="0" fontId="1" fillId="16" borderId="11" xfId="0" applyFont="1" applyFill="1" applyBorder="1" applyAlignment="1">
      <alignment horizontal="center"/>
    </xf>
    <xf numFmtId="0" fontId="1" fillId="16" borderId="0" xfId="0" applyFont="1" applyFill="1" applyBorder="1" applyAlignment="1">
      <alignment horizontal="center"/>
    </xf>
    <xf numFmtId="0" fontId="6" fillId="25" borderId="8" xfId="0" applyFont="1" applyFill="1" applyBorder="1" applyAlignment="1">
      <alignment horizontal="center" vertical="center"/>
    </xf>
    <xf numFmtId="0" fontId="6" fillId="25" borderId="9" xfId="0" applyFont="1" applyFill="1" applyBorder="1" applyAlignment="1">
      <alignment horizontal="center" vertical="center"/>
    </xf>
    <xf numFmtId="0" fontId="6" fillId="25" borderId="10" xfId="0" applyFont="1" applyFill="1" applyBorder="1" applyAlignment="1">
      <alignment horizontal="center" vertical="center"/>
    </xf>
    <xf numFmtId="0" fontId="6" fillId="25" borderId="48" xfId="0" applyFont="1" applyFill="1" applyBorder="1" applyAlignment="1">
      <alignment horizontal="center" vertical="center"/>
    </xf>
    <xf numFmtId="0" fontId="6" fillId="25" borderId="50" xfId="0" applyFont="1" applyFill="1" applyBorder="1" applyAlignment="1">
      <alignment horizontal="center" vertical="center"/>
    </xf>
    <xf numFmtId="0" fontId="6" fillId="25" borderId="49" xfId="0" applyFont="1" applyFill="1" applyBorder="1" applyAlignment="1">
      <alignment horizontal="center" vertical="center"/>
    </xf>
    <xf numFmtId="0" fontId="1" fillId="25" borderId="8" xfId="0" applyFont="1" applyFill="1" applyBorder="1" applyAlignment="1">
      <alignment horizontal="left" vertical="center"/>
    </xf>
    <xf numFmtId="0" fontId="1" fillId="25" borderId="9" xfId="0" applyFont="1" applyFill="1" applyBorder="1" applyAlignment="1">
      <alignment horizontal="left" vertical="center"/>
    </xf>
    <xf numFmtId="0" fontId="1" fillId="25" borderId="10" xfId="0" applyFont="1" applyFill="1" applyBorder="1" applyAlignment="1">
      <alignment horizontal="left" vertical="center"/>
    </xf>
    <xf numFmtId="0" fontId="1" fillId="25" borderId="11" xfId="0" applyFont="1" applyFill="1" applyBorder="1" applyAlignment="1">
      <alignment horizontal="left" vertical="center"/>
    </xf>
    <xf numFmtId="0" fontId="1" fillId="25" borderId="0" xfId="0" applyFont="1" applyFill="1" applyBorder="1" applyAlignment="1">
      <alignment horizontal="left" vertical="center"/>
    </xf>
    <xf numFmtId="0" fontId="1" fillId="25" borderId="12" xfId="0" applyFont="1" applyFill="1" applyBorder="1" applyAlignment="1">
      <alignment horizontal="left" vertical="center"/>
    </xf>
    <xf numFmtId="0" fontId="1" fillId="25" borderId="48" xfId="0" applyFont="1" applyFill="1" applyBorder="1" applyAlignment="1">
      <alignment horizontal="left" vertical="center"/>
    </xf>
    <xf numFmtId="0" fontId="1" fillId="25" borderId="50" xfId="0" applyFont="1" applyFill="1" applyBorder="1" applyAlignment="1">
      <alignment horizontal="left" vertical="center"/>
    </xf>
    <xf numFmtId="0" fontId="1" fillId="25" borderId="49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" fillId="16" borderId="12" xfId="0" applyFont="1" applyFill="1" applyBorder="1" applyAlignment="1">
      <alignment horizontal="center"/>
    </xf>
    <xf numFmtId="0" fontId="1" fillId="25" borderId="0" xfId="0" applyFont="1" applyFill="1" applyBorder="1" applyAlignment="1">
      <alignment horizontal="center"/>
    </xf>
    <xf numFmtId="0" fontId="1" fillId="16" borderId="11" xfId="0" applyFont="1" applyFill="1" applyBorder="1" applyAlignment="1">
      <alignment horizontal="left"/>
    </xf>
    <xf numFmtId="0" fontId="1" fillId="16" borderId="0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0" borderId="48" xfId="0" applyBorder="1" applyAlignment="1">
      <alignment horizontal="left"/>
    </xf>
    <xf numFmtId="0" fontId="0" fillId="0" borderId="50" xfId="0" applyBorder="1" applyAlignment="1">
      <alignment horizontal="left"/>
    </xf>
    <xf numFmtId="0" fontId="1" fillId="25" borderId="26" xfId="0" applyFont="1" applyFill="1" applyBorder="1" applyAlignment="1">
      <alignment horizontal="center"/>
    </xf>
    <xf numFmtId="0" fontId="1" fillId="25" borderId="27" xfId="0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justify" vertical="justify" wrapText="1"/>
    </xf>
    <xf numFmtId="0" fontId="0" fillId="0" borderId="35" xfId="0" applyBorder="1" applyAlignment="1">
      <alignment horizontal="left" vertical="top" wrapText="1"/>
    </xf>
    <xf numFmtId="0" fontId="0" fillId="0" borderId="36" xfId="0" applyBorder="1" applyAlignment="1">
      <alignment horizontal="left" vertical="top" wrapText="1"/>
    </xf>
    <xf numFmtId="0" fontId="0" fillId="0" borderId="37" xfId="0" applyBorder="1" applyAlignment="1">
      <alignment horizontal="left" vertical="top" wrapText="1"/>
    </xf>
    <xf numFmtId="0" fontId="0" fillId="0" borderId="38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34" xfId="0" applyBorder="1" applyAlignment="1">
      <alignment horizontal="left" wrapText="1"/>
    </xf>
    <xf numFmtId="0" fontId="6" fillId="0" borderId="1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" fillId="2" borderId="29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left"/>
    </xf>
    <xf numFmtId="0" fontId="1" fillId="2" borderId="27" xfId="0" applyFont="1" applyFill="1" applyBorder="1" applyAlignment="1">
      <alignment horizontal="left"/>
    </xf>
    <xf numFmtId="0" fontId="1" fillId="2" borderId="28" xfId="0" applyFont="1" applyFill="1" applyBorder="1" applyAlignment="1">
      <alignment horizontal="left"/>
    </xf>
    <xf numFmtId="0" fontId="0" fillId="31" borderId="35" xfId="0" applyFill="1" applyBorder="1" applyAlignment="1">
      <alignment horizontal="center"/>
    </xf>
    <xf numFmtId="0" fontId="0" fillId="31" borderId="37" xfId="0" applyFill="1" applyBorder="1" applyAlignment="1">
      <alignment horizontal="center"/>
    </xf>
    <xf numFmtId="0" fontId="0" fillId="31" borderId="38" xfId="0" applyFill="1" applyBorder="1" applyAlignment="1">
      <alignment horizontal="center"/>
    </xf>
    <xf numFmtId="0" fontId="0" fillId="31" borderId="34" xfId="0" applyFill="1" applyBorder="1" applyAlignment="1">
      <alignment horizontal="center"/>
    </xf>
    <xf numFmtId="0" fontId="0" fillId="31" borderId="71" xfId="0" applyFill="1" applyBorder="1" applyAlignment="1">
      <alignment horizontal="center"/>
    </xf>
    <xf numFmtId="0" fontId="0" fillId="31" borderId="72" xfId="0" applyFill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" fillId="31" borderId="2" xfId="0" applyFont="1" applyFill="1" applyBorder="1" applyAlignment="1">
      <alignment horizontal="center" vertical="center"/>
    </xf>
    <xf numFmtId="0" fontId="1" fillId="31" borderId="4" xfId="0" applyFont="1" applyFill="1" applyBorder="1" applyAlignment="1">
      <alignment horizontal="center" vertical="center"/>
    </xf>
    <xf numFmtId="0" fontId="0" fillId="2" borderId="30" xfId="0" applyFont="1" applyFill="1" applyBorder="1" applyAlignment="1">
      <alignment horizontal="left"/>
    </xf>
    <xf numFmtId="0" fontId="1" fillId="2" borderId="33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0" fillId="2" borderId="25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1" fillId="0" borderId="13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14" xfId="0" applyFont="1" applyBorder="1" applyAlignment="1">
      <alignment horizontal="left"/>
    </xf>
    <xf numFmtId="0" fontId="1" fillId="16" borderId="58" xfId="0" applyFont="1" applyFill="1" applyBorder="1" applyAlignment="1">
      <alignment horizontal="left" vertical="center"/>
    </xf>
    <xf numFmtId="0" fontId="1" fillId="16" borderId="36" xfId="0" applyFont="1" applyFill="1" applyBorder="1" applyAlignment="1">
      <alignment horizontal="left" vertical="center"/>
    </xf>
    <xf numFmtId="0" fontId="1" fillId="16" borderId="15" xfId="0" applyFont="1" applyFill="1" applyBorder="1" applyAlignment="1">
      <alignment horizontal="left" vertical="center"/>
    </xf>
    <xf numFmtId="0" fontId="1" fillId="16" borderId="11" xfId="0" applyFont="1" applyFill="1" applyBorder="1" applyAlignment="1">
      <alignment horizontal="left" vertical="center"/>
    </xf>
    <xf numFmtId="0" fontId="1" fillId="16" borderId="0" xfId="0" applyFont="1" applyFill="1" applyBorder="1" applyAlignment="1">
      <alignment horizontal="left" vertical="center"/>
    </xf>
    <xf numFmtId="0" fontId="1" fillId="16" borderId="12" xfId="0" applyFont="1" applyFill="1" applyBorder="1" applyAlignment="1">
      <alignment horizontal="left" vertical="center"/>
    </xf>
    <xf numFmtId="0" fontId="1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0" xfId="0" applyFont="1" applyAlignment="1">
      <alignment horizontal="left" wrapText="1"/>
    </xf>
    <xf numFmtId="10" fontId="10" fillId="0" borderId="57" xfId="2" applyNumberFormat="1" applyFont="1" applyBorder="1" applyAlignment="1">
      <alignment horizontal="center" vertical="center"/>
    </xf>
    <xf numFmtId="10" fontId="10" fillId="0" borderId="61" xfId="2" applyNumberFormat="1" applyFont="1" applyBorder="1" applyAlignment="1">
      <alignment horizontal="center" vertical="center"/>
    </xf>
    <xf numFmtId="10" fontId="10" fillId="0" borderId="54" xfId="2" applyNumberFormat="1" applyFont="1" applyBorder="1" applyAlignment="1">
      <alignment horizontal="center" vertical="center"/>
    </xf>
  </cellXfs>
  <cellStyles count="401">
    <cellStyle name="20% - Ênfase1 2" xfId="3" xr:uid="{00000000-0005-0000-0000-000000000000}"/>
    <cellStyle name="20% - Ênfase2 2" xfId="4" xr:uid="{00000000-0005-0000-0000-000001000000}"/>
    <cellStyle name="20% - Ênfase3 2" xfId="5" xr:uid="{00000000-0005-0000-0000-000002000000}"/>
    <cellStyle name="20% - Ênfase4 2" xfId="6" xr:uid="{00000000-0005-0000-0000-000003000000}"/>
    <cellStyle name="20% - Ênfase5 2" xfId="7" xr:uid="{00000000-0005-0000-0000-000004000000}"/>
    <cellStyle name="20% - Ênfase6 2" xfId="8" xr:uid="{00000000-0005-0000-0000-000005000000}"/>
    <cellStyle name="40% - Ênfase1 2" xfId="9" xr:uid="{00000000-0005-0000-0000-000006000000}"/>
    <cellStyle name="40% - Ênfase2 2" xfId="10" xr:uid="{00000000-0005-0000-0000-000007000000}"/>
    <cellStyle name="40% - Ênfase3 2" xfId="11" xr:uid="{00000000-0005-0000-0000-000008000000}"/>
    <cellStyle name="40% - Ênfase4 2" xfId="12" xr:uid="{00000000-0005-0000-0000-000009000000}"/>
    <cellStyle name="40% - Ênfase5 2" xfId="13" xr:uid="{00000000-0005-0000-0000-00000A000000}"/>
    <cellStyle name="40% - Ênfase6 2" xfId="14" xr:uid="{00000000-0005-0000-0000-00000B000000}"/>
    <cellStyle name="Comma 2" xfId="15" xr:uid="{00000000-0005-0000-0000-00000C000000}"/>
    <cellStyle name="Hiperlink" xfId="400" builtinId="8"/>
    <cellStyle name="Moeda" xfId="395" builtinId="4"/>
    <cellStyle name="Moeda 2" xfId="16" xr:uid="{00000000-0005-0000-0000-00000F000000}"/>
    <cellStyle name="Moeda 2 2" xfId="17" xr:uid="{00000000-0005-0000-0000-000010000000}"/>
    <cellStyle name="Moeda 2 2 2" xfId="388" xr:uid="{00000000-0005-0000-0000-000011000000}"/>
    <cellStyle name="Moeda 2 3" xfId="18" xr:uid="{00000000-0005-0000-0000-000012000000}"/>
    <cellStyle name="Moeda 2 4" xfId="387" xr:uid="{00000000-0005-0000-0000-000013000000}"/>
    <cellStyle name="Moeda 3" xfId="19" xr:uid="{00000000-0005-0000-0000-000014000000}"/>
    <cellStyle name="Moeda 4" xfId="397" xr:uid="{00000000-0005-0000-0000-000015000000}"/>
    <cellStyle name="Normal" xfId="0" builtinId="0"/>
    <cellStyle name="Normal 10 10" xfId="20" xr:uid="{00000000-0005-0000-0000-000017000000}"/>
    <cellStyle name="Normal 10 11" xfId="21" xr:uid="{00000000-0005-0000-0000-000018000000}"/>
    <cellStyle name="Normal 10 12" xfId="22" xr:uid="{00000000-0005-0000-0000-000019000000}"/>
    <cellStyle name="Normal 10 13" xfId="23" xr:uid="{00000000-0005-0000-0000-00001A000000}"/>
    <cellStyle name="Normal 10 14" xfId="24" xr:uid="{00000000-0005-0000-0000-00001B000000}"/>
    <cellStyle name="Normal 10 15" xfId="25" xr:uid="{00000000-0005-0000-0000-00001C000000}"/>
    <cellStyle name="Normal 10 16" xfId="26" xr:uid="{00000000-0005-0000-0000-00001D000000}"/>
    <cellStyle name="Normal 10 17" xfId="27" xr:uid="{00000000-0005-0000-0000-00001E000000}"/>
    <cellStyle name="Normal 10 18" xfId="28" xr:uid="{00000000-0005-0000-0000-00001F000000}"/>
    <cellStyle name="Normal 10 19" xfId="29" xr:uid="{00000000-0005-0000-0000-000020000000}"/>
    <cellStyle name="Normal 10 2" xfId="30" xr:uid="{00000000-0005-0000-0000-000021000000}"/>
    <cellStyle name="Normal 10 20" xfId="31" xr:uid="{00000000-0005-0000-0000-000022000000}"/>
    <cellStyle name="Normal 10 21" xfId="32" xr:uid="{00000000-0005-0000-0000-000023000000}"/>
    <cellStyle name="Normal 10 22" xfId="33" xr:uid="{00000000-0005-0000-0000-000024000000}"/>
    <cellStyle name="Normal 10 23" xfId="34" xr:uid="{00000000-0005-0000-0000-000025000000}"/>
    <cellStyle name="Normal 10 24" xfId="35" xr:uid="{00000000-0005-0000-0000-000026000000}"/>
    <cellStyle name="Normal 10 25" xfId="36" xr:uid="{00000000-0005-0000-0000-000027000000}"/>
    <cellStyle name="Normal 10 26" xfId="37" xr:uid="{00000000-0005-0000-0000-000028000000}"/>
    <cellStyle name="Normal 10 27" xfId="38" xr:uid="{00000000-0005-0000-0000-000029000000}"/>
    <cellStyle name="Normal 10 28" xfId="39" xr:uid="{00000000-0005-0000-0000-00002A000000}"/>
    <cellStyle name="Normal 10 29" xfId="40" xr:uid="{00000000-0005-0000-0000-00002B000000}"/>
    <cellStyle name="Normal 10 3" xfId="41" xr:uid="{00000000-0005-0000-0000-00002C000000}"/>
    <cellStyle name="Normal 10 30" xfId="42" xr:uid="{00000000-0005-0000-0000-00002D000000}"/>
    <cellStyle name="Normal 10 31" xfId="43" xr:uid="{00000000-0005-0000-0000-00002E000000}"/>
    <cellStyle name="Normal 10 32" xfId="44" xr:uid="{00000000-0005-0000-0000-00002F000000}"/>
    <cellStyle name="Normal 10 33" xfId="45" xr:uid="{00000000-0005-0000-0000-000030000000}"/>
    <cellStyle name="Normal 10 34" xfId="46" xr:uid="{00000000-0005-0000-0000-000031000000}"/>
    <cellStyle name="Normal 10 35" xfId="47" xr:uid="{00000000-0005-0000-0000-000032000000}"/>
    <cellStyle name="Normal 10 36" xfId="48" xr:uid="{00000000-0005-0000-0000-000033000000}"/>
    <cellStyle name="Normal 10 37" xfId="49" xr:uid="{00000000-0005-0000-0000-000034000000}"/>
    <cellStyle name="Normal 10 38" xfId="50" xr:uid="{00000000-0005-0000-0000-000035000000}"/>
    <cellStyle name="Normal 10 39" xfId="51" xr:uid="{00000000-0005-0000-0000-000036000000}"/>
    <cellStyle name="Normal 10 4" xfId="52" xr:uid="{00000000-0005-0000-0000-000037000000}"/>
    <cellStyle name="Normal 10 5" xfId="53" xr:uid="{00000000-0005-0000-0000-000038000000}"/>
    <cellStyle name="Normal 10 6" xfId="54" xr:uid="{00000000-0005-0000-0000-000039000000}"/>
    <cellStyle name="Normal 10 7" xfId="55" xr:uid="{00000000-0005-0000-0000-00003A000000}"/>
    <cellStyle name="Normal 10 8" xfId="56" xr:uid="{00000000-0005-0000-0000-00003B000000}"/>
    <cellStyle name="Normal 10 9" xfId="57" xr:uid="{00000000-0005-0000-0000-00003C000000}"/>
    <cellStyle name="Normal 11 10" xfId="58" xr:uid="{00000000-0005-0000-0000-00003D000000}"/>
    <cellStyle name="Normal 11 11" xfId="59" xr:uid="{00000000-0005-0000-0000-00003E000000}"/>
    <cellStyle name="Normal 11 12" xfId="60" xr:uid="{00000000-0005-0000-0000-00003F000000}"/>
    <cellStyle name="Normal 11 13" xfId="61" xr:uid="{00000000-0005-0000-0000-000040000000}"/>
    <cellStyle name="Normal 11 14" xfId="62" xr:uid="{00000000-0005-0000-0000-000041000000}"/>
    <cellStyle name="Normal 11 15" xfId="63" xr:uid="{00000000-0005-0000-0000-000042000000}"/>
    <cellStyle name="Normal 11 16" xfId="64" xr:uid="{00000000-0005-0000-0000-000043000000}"/>
    <cellStyle name="Normal 11 17" xfId="65" xr:uid="{00000000-0005-0000-0000-000044000000}"/>
    <cellStyle name="Normal 11 18" xfId="66" xr:uid="{00000000-0005-0000-0000-000045000000}"/>
    <cellStyle name="Normal 11 19" xfId="67" xr:uid="{00000000-0005-0000-0000-000046000000}"/>
    <cellStyle name="Normal 11 2" xfId="68" xr:uid="{00000000-0005-0000-0000-000047000000}"/>
    <cellStyle name="Normal 11 20" xfId="69" xr:uid="{00000000-0005-0000-0000-000048000000}"/>
    <cellStyle name="Normal 11 21" xfId="70" xr:uid="{00000000-0005-0000-0000-000049000000}"/>
    <cellStyle name="Normal 11 22" xfId="71" xr:uid="{00000000-0005-0000-0000-00004A000000}"/>
    <cellStyle name="Normal 11 23" xfId="72" xr:uid="{00000000-0005-0000-0000-00004B000000}"/>
    <cellStyle name="Normal 11 24" xfId="73" xr:uid="{00000000-0005-0000-0000-00004C000000}"/>
    <cellStyle name="Normal 11 25" xfId="74" xr:uid="{00000000-0005-0000-0000-00004D000000}"/>
    <cellStyle name="Normal 11 26" xfId="75" xr:uid="{00000000-0005-0000-0000-00004E000000}"/>
    <cellStyle name="Normal 11 27" xfId="76" xr:uid="{00000000-0005-0000-0000-00004F000000}"/>
    <cellStyle name="Normal 11 28" xfId="77" xr:uid="{00000000-0005-0000-0000-000050000000}"/>
    <cellStyle name="Normal 11 29" xfId="78" xr:uid="{00000000-0005-0000-0000-000051000000}"/>
    <cellStyle name="Normal 11 3" xfId="79" xr:uid="{00000000-0005-0000-0000-000052000000}"/>
    <cellStyle name="Normal 11 30" xfId="80" xr:uid="{00000000-0005-0000-0000-000053000000}"/>
    <cellStyle name="Normal 11 31" xfId="81" xr:uid="{00000000-0005-0000-0000-000054000000}"/>
    <cellStyle name="Normal 11 32" xfId="82" xr:uid="{00000000-0005-0000-0000-000055000000}"/>
    <cellStyle name="Normal 11 33" xfId="83" xr:uid="{00000000-0005-0000-0000-000056000000}"/>
    <cellStyle name="Normal 11 34" xfId="84" xr:uid="{00000000-0005-0000-0000-000057000000}"/>
    <cellStyle name="Normal 11 35" xfId="85" xr:uid="{00000000-0005-0000-0000-000058000000}"/>
    <cellStyle name="Normal 11 36" xfId="86" xr:uid="{00000000-0005-0000-0000-000059000000}"/>
    <cellStyle name="Normal 11 37" xfId="87" xr:uid="{00000000-0005-0000-0000-00005A000000}"/>
    <cellStyle name="Normal 11 38" xfId="88" xr:uid="{00000000-0005-0000-0000-00005B000000}"/>
    <cellStyle name="Normal 11 39" xfId="89" xr:uid="{00000000-0005-0000-0000-00005C000000}"/>
    <cellStyle name="Normal 11 4" xfId="90" xr:uid="{00000000-0005-0000-0000-00005D000000}"/>
    <cellStyle name="Normal 11 5" xfId="91" xr:uid="{00000000-0005-0000-0000-00005E000000}"/>
    <cellStyle name="Normal 11 6" xfId="92" xr:uid="{00000000-0005-0000-0000-00005F000000}"/>
    <cellStyle name="Normal 11 7" xfId="93" xr:uid="{00000000-0005-0000-0000-000060000000}"/>
    <cellStyle name="Normal 11 8" xfId="94" xr:uid="{00000000-0005-0000-0000-000061000000}"/>
    <cellStyle name="Normal 11 9" xfId="95" xr:uid="{00000000-0005-0000-0000-000062000000}"/>
    <cellStyle name="Normal 15" xfId="96" xr:uid="{00000000-0005-0000-0000-000063000000}"/>
    <cellStyle name="Normal 16" xfId="97" xr:uid="{00000000-0005-0000-0000-000064000000}"/>
    <cellStyle name="Normal 17" xfId="98" xr:uid="{00000000-0005-0000-0000-000065000000}"/>
    <cellStyle name="Normal 2" xfId="99" xr:uid="{00000000-0005-0000-0000-000066000000}"/>
    <cellStyle name="Normal 2 2" xfId="100" xr:uid="{00000000-0005-0000-0000-000067000000}"/>
    <cellStyle name="Normal 2 3" xfId="101" xr:uid="{00000000-0005-0000-0000-000068000000}"/>
    <cellStyle name="Normal 2 4" xfId="102" xr:uid="{00000000-0005-0000-0000-000069000000}"/>
    <cellStyle name="Normal 28" xfId="103" xr:uid="{00000000-0005-0000-0000-00006A000000}"/>
    <cellStyle name="Normal 3" xfId="104" xr:uid="{00000000-0005-0000-0000-00006B000000}"/>
    <cellStyle name="Normal 3 10" xfId="105" xr:uid="{00000000-0005-0000-0000-00006C000000}"/>
    <cellStyle name="Normal 3 11" xfId="106" xr:uid="{00000000-0005-0000-0000-00006D000000}"/>
    <cellStyle name="Normal 3 12" xfId="107" xr:uid="{00000000-0005-0000-0000-00006E000000}"/>
    <cellStyle name="Normal 3 13" xfId="108" xr:uid="{00000000-0005-0000-0000-00006F000000}"/>
    <cellStyle name="Normal 3 14" xfId="109" xr:uid="{00000000-0005-0000-0000-000070000000}"/>
    <cellStyle name="Normal 3 15" xfId="110" xr:uid="{00000000-0005-0000-0000-000071000000}"/>
    <cellStyle name="Normal 3 16" xfId="111" xr:uid="{00000000-0005-0000-0000-000072000000}"/>
    <cellStyle name="Normal 3 17" xfId="112" xr:uid="{00000000-0005-0000-0000-000073000000}"/>
    <cellStyle name="Normal 3 18" xfId="113" xr:uid="{00000000-0005-0000-0000-000074000000}"/>
    <cellStyle name="Normal 3 19" xfId="114" xr:uid="{00000000-0005-0000-0000-000075000000}"/>
    <cellStyle name="Normal 3 2" xfId="115" xr:uid="{00000000-0005-0000-0000-000076000000}"/>
    <cellStyle name="Normal 3 20" xfId="116" xr:uid="{00000000-0005-0000-0000-000077000000}"/>
    <cellStyle name="Normal 3 21" xfId="117" xr:uid="{00000000-0005-0000-0000-000078000000}"/>
    <cellStyle name="Normal 3 22" xfId="118" xr:uid="{00000000-0005-0000-0000-000079000000}"/>
    <cellStyle name="Normal 3 23" xfId="119" xr:uid="{00000000-0005-0000-0000-00007A000000}"/>
    <cellStyle name="Normal 3 24" xfId="120" xr:uid="{00000000-0005-0000-0000-00007B000000}"/>
    <cellStyle name="Normal 3 25" xfId="121" xr:uid="{00000000-0005-0000-0000-00007C000000}"/>
    <cellStyle name="Normal 3 26" xfId="122" xr:uid="{00000000-0005-0000-0000-00007D000000}"/>
    <cellStyle name="Normal 3 27" xfId="123" xr:uid="{00000000-0005-0000-0000-00007E000000}"/>
    <cellStyle name="Normal 3 28" xfId="124" xr:uid="{00000000-0005-0000-0000-00007F000000}"/>
    <cellStyle name="Normal 3 29" xfId="125" xr:uid="{00000000-0005-0000-0000-000080000000}"/>
    <cellStyle name="Normal 3 3" xfId="126" xr:uid="{00000000-0005-0000-0000-000081000000}"/>
    <cellStyle name="Normal 3 30" xfId="127" xr:uid="{00000000-0005-0000-0000-000082000000}"/>
    <cellStyle name="Normal 3 31" xfId="128" xr:uid="{00000000-0005-0000-0000-000083000000}"/>
    <cellStyle name="Normal 3 32" xfId="129" xr:uid="{00000000-0005-0000-0000-000084000000}"/>
    <cellStyle name="Normal 3 33" xfId="130" xr:uid="{00000000-0005-0000-0000-000085000000}"/>
    <cellStyle name="Normal 3 34" xfId="131" xr:uid="{00000000-0005-0000-0000-000086000000}"/>
    <cellStyle name="Normal 3 35" xfId="132" xr:uid="{00000000-0005-0000-0000-000087000000}"/>
    <cellStyle name="Normal 3 36" xfId="133" xr:uid="{00000000-0005-0000-0000-000088000000}"/>
    <cellStyle name="Normal 3 37" xfId="134" xr:uid="{00000000-0005-0000-0000-000089000000}"/>
    <cellStyle name="Normal 3 38" xfId="135" xr:uid="{00000000-0005-0000-0000-00008A000000}"/>
    <cellStyle name="Normal 3 39" xfId="136" xr:uid="{00000000-0005-0000-0000-00008B000000}"/>
    <cellStyle name="Normal 3 4" xfId="137" xr:uid="{00000000-0005-0000-0000-00008C000000}"/>
    <cellStyle name="Normal 3 40" xfId="138" xr:uid="{00000000-0005-0000-0000-00008D000000}"/>
    <cellStyle name="Normal 3 5" xfId="139" xr:uid="{00000000-0005-0000-0000-00008E000000}"/>
    <cellStyle name="Normal 3 6" xfId="140" xr:uid="{00000000-0005-0000-0000-00008F000000}"/>
    <cellStyle name="Normal 3 7" xfId="141" xr:uid="{00000000-0005-0000-0000-000090000000}"/>
    <cellStyle name="Normal 3 8" xfId="142" xr:uid="{00000000-0005-0000-0000-000091000000}"/>
    <cellStyle name="Normal 3 9" xfId="143" xr:uid="{00000000-0005-0000-0000-000092000000}"/>
    <cellStyle name="Normal 4" xfId="144" xr:uid="{00000000-0005-0000-0000-000093000000}"/>
    <cellStyle name="Normal 4 10" xfId="145" xr:uid="{00000000-0005-0000-0000-000094000000}"/>
    <cellStyle name="Normal 4 11" xfId="146" xr:uid="{00000000-0005-0000-0000-000095000000}"/>
    <cellStyle name="Normal 4 12" xfId="147" xr:uid="{00000000-0005-0000-0000-000096000000}"/>
    <cellStyle name="Normal 4 13" xfId="148" xr:uid="{00000000-0005-0000-0000-000097000000}"/>
    <cellStyle name="Normal 4 14" xfId="149" xr:uid="{00000000-0005-0000-0000-000098000000}"/>
    <cellStyle name="Normal 4 15" xfId="150" xr:uid="{00000000-0005-0000-0000-000099000000}"/>
    <cellStyle name="Normal 4 16" xfId="151" xr:uid="{00000000-0005-0000-0000-00009A000000}"/>
    <cellStyle name="Normal 4 17" xfId="152" xr:uid="{00000000-0005-0000-0000-00009B000000}"/>
    <cellStyle name="Normal 4 18" xfId="153" xr:uid="{00000000-0005-0000-0000-00009C000000}"/>
    <cellStyle name="Normal 4 19" xfId="154" xr:uid="{00000000-0005-0000-0000-00009D000000}"/>
    <cellStyle name="Normal 4 2" xfId="155" xr:uid="{00000000-0005-0000-0000-00009E000000}"/>
    <cellStyle name="Normal 4 20" xfId="156" xr:uid="{00000000-0005-0000-0000-00009F000000}"/>
    <cellStyle name="Normal 4 21" xfId="157" xr:uid="{00000000-0005-0000-0000-0000A0000000}"/>
    <cellStyle name="Normal 4 22" xfId="158" xr:uid="{00000000-0005-0000-0000-0000A1000000}"/>
    <cellStyle name="Normal 4 23" xfId="159" xr:uid="{00000000-0005-0000-0000-0000A2000000}"/>
    <cellStyle name="Normal 4 24" xfId="160" xr:uid="{00000000-0005-0000-0000-0000A3000000}"/>
    <cellStyle name="Normal 4 25" xfId="161" xr:uid="{00000000-0005-0000-0000-0000A4000000}"/>
    <cellStyle name="Normal 4 26" xfId="162" xr:uid="{00000000-0005-0000-0000-0000A5000000}"/>
    <cellStyle name="Normal 4 27" xfId="163" xr:uid="{00000000-0005-0000-0000-0000A6000000}"/>
    <cellStyle name="Normal 4 28" xfId="164" xr:uid="{00000000-0005-0000-0000-0000A7000000}"/>
    <cellStyle name="Normal 4 29" xfId="165" xr:uid="{00000000-0005-0000-0000-0000A8000000}"/>
    <cellStyle name="Normal 4 3" xfId="166" xr:uid="{00000000-0005-0000-0000-0000A9000000}"/>
    <cellStyle name="Normal 4 30" xfId="167" xr:uid="{00000000-0005-0000-0000-0000AA000000}"/>
    <cellStyle name="Normal 4 31" xfId="168" xr:uid="{00000000-0005-0000-0000-0000AB000000}"/>
    <cellStyle name="Normal 4 32" xfId="169" xr:uid="{00000000-0005-0000-0000-0000AC000000}"/>
    <cellStyle name="Normal 4 33" xfId="170" xr:uid="{00000000-0005-0000-0000-0000AD000000}"/>
    <cellStyle name="Normal 4 34" xfId="171" xr:uid="{00000000-0005-0000-0000-0000AE000000}"/>
    <cellStyle name="Normal 4 35" xfId="172" xr:uid="{00000000-0005-0000-0000-0000AF000000}"/>
    <cellStyle name="Normal 4 36" xfId="173" xr:uid="{00000000-0005-0000-0000-0000B0000000}"/>
    <cellStyle name="Normal 4 37" xfId="174" xr:uid="{00000000-0005-0000-0000-0000B1000000}"/>
    <cellStyle name="Normal 4 38" xfId="175" xr:uid="{00000000-0005-0000-0000-0000B2000000}"/>
    <cellStyle name="Normal 4 39" xfId="176" xr:uid="{00000000-0005-0000-0000-0000B3000000}"/>
    <cellStyle name="Normal 4 4" xfId="177" xr:uid="{00000000-0005-0000-0000-0000B4000000}"/>
    <cellStyle name="Normal 4 5" xfId="178" xr:uid="{00000000-0005-0000-0000-0000B5000000}"/>
    <cellStyle name="Normal 4 6" xfId="179" xr:uid="{00000000-0005-0000-0000-0000B6000000}"/>
    <cellStyle name="Normal 4 7" xfId="180" xr:uid="{00000000-0005-0000-0000-0000B7000000}"/>
    <cellStyle name="Normal 4 8" xfId="181" xr:uid="{00000000-0005-0000-0000-0000B8000000}"/>
    <cellStyle name="Normal 4 9" xfId="182" xr:uid="{00000000-0005-0000-0000-0000B9000000}"/>
    <cellStyle name="Normal 5" xfId="183" xr:uid="{00000000-0005-0000-0000-0000BA000000}"/>
    <cellStyle name="Normal 5 10" xfId="184" xr:uid="{00000000-0005-0000-0000-0000BB000000}"/>
    <cellStyle name="Normal 5 11" xfId="185" xr:uid="{00000000-0005-0000-0000-0000BC000000}"/>
    <cellStyle name="Normal 5 12" xfId="186" xr:uid="{00000000-0005-0000-0000-0000BD000000}"/>
    <cellStyle name="Normal 5 13" xfId="187" xr:uid="{00000000-0005-0000-0000-0000BE000000}"/>
    <cellStyle name="Normal 5 14" xfId="188" xr:uid="{00000000-0005-0000-0000-0000BF000000}"/>
    <cellStyle name="Normal 5 15" xfId="189" xr:uid="{00000000-0005-0000-0000-0000C0000000}"/>
    <cellStyle name="Normal 5 16" xfId="190" xr:uid="{00000000-0005-0000-0000-0000C1000000}"/>
    <cellStyle name="Normal 5 17" xfId="191" xr:uid="{00000000-0005-0000-0000-0000C2000000}"/>
    <cellStyle name="Normal 5 18" xfId="192" xr:uid="{00000000-0005-0000-0000-0000C3000000}"/>
    <cellStyle name="Normal 5 19" xfId="193" xr:uid="{00000000-0005-0000-0000-0000C4000000}"/>
    <cellStyle name="Normal 5 2" xfId="194" xr:uid="{00000000-0005-0000-0000-0000C5000000}"/>
    <cellStyle name="Normal 5 20" xfId="195" xr:uid="{00000000-0005-0000-0000-0000C6000000}"/>
    <cellStyle name="Normal 5 21" xfId="196" xr:uid="{00000000-0005-0000-0000-0000C7000000}"/>
    <cellStyle name="Normal 5 22" xfId="197" xr:uid="{00000000-0005-0000-0000-0000C8000000}"/>
    <cellStyle name="Normal 5 23" xfId="198" xr:uid="{00000000-0005-0000-0000-0000C9000000}"/>
    <cellStyle name="Normal 5 24" xfId="199" xr:uid="{00000000-0005-0000-0000-0000CA000000}"/>
    <cellStyle name="Normal 5 25" xfId="200" xr:uid="{00000000-0005-0000-0000-0000CB000000}"/>
    <cellStyle name="Normal 5 26" xfId="201" xr:uid="{00000000-0005-0000-0000-0000CC000000}"/>
    <cellStyle name="Normal 5 27" xfId="202" xr:uid="{00000000-0005-0000-0000-0000CD000000}"/>
    <cellStyle name="Normal 5 28" xfId="203" xr:uid="{00000000-0005-0000-0000-0000CE000000}"/>
    <cellStyle name="Normal 5 29" xfId="204" xr:uid="{00000000-0005-0000-0000-0000CF000000}"/>
    <cellStyle name="Normal 5 3" xfId="205" xr:uid="{00000000-0005-0000-0000-0000D0000000}"/>
    <cellStyle name="Normal 5 30" xfId="206" xr:uid="{00000000-0005-0000-0000-0000D1000000}"/>
    <cellStyle name="Normal 5 31" xfId="207" xr:uid="{00000000-0005-0000-0000-0000D2000000}"/>
    <cellStyle name="Normal 5 32" xfId="208" xr:uid="{00000000-0005-0000-0000-0000D3000000}"/>
    <cellStyle name="Normal 5 33" xfId="209" xr:uid="{00000000-0005-0000-0000-0000D4000000}"/>
    <cellStyle name="Normal 5 34" xfId="210" xr:uid="{00000000-0005-0000-0000-0000D5000000}"/>
    <cellStyle name="Normal 5 35" xfId="211" xr:uid="{00000000-0005-0000-0000-0000D6000000}"/>
    <cellStyle name="Normal 5 36" xfId="212" xr:uid="{00000000-0005-0000-0000-0000D7000000}"/>
    <cellStyle name="Normal 5 37" xfId="213" xr:uid="{00000000-0005-0000-0000-0000D8000000}"/>
    <cellStyle name="Normal 5 38" xfId="214" xr:uid="{00000000-0005-0000-0000-0000D9000000}"/>
    <cellStyle name="Normal 5 39" xfId="215" xr:uid="{00000000-0005-0000-0000-0000DA000000}"/>
    <cellStyle name="Normal 5 4" xfId="216" xr:uid="{00000000-0005-0000-0000-0000DB000000}"/>
    <cellStyle name="Normal 5 40" xfId="217" xr:uid="{00000000-0005-0000-0000-0000DC000000}"/>
    <cellStyle name="Normal 5 5" xfId="218" xr:uid="{00000000-0005-0000-0000-0000DD000000}"/>
    <cellStyle name="Normal 5 6" xfId="219" xr:uid="{00000000-0005-0000-0000-0000DE000000}"/>
    <cellStyle name="Normal 5 7" xfId="220" xr:uid="{00000000-0005-0000-0000-0000DF000000}"/>
    <cellStyle name="Normal 5 8" xfId="221" xr:uid="{00000000-0005-0000-0000-0000E0000000}"/>
    <cellStyle name="Normal 5 9" xfId="222" xr:uid="{00000000-0005-0000-0000-0000E1000000}"/>
    <cellStyle name="Normal 50" xfId="223" xr:uid="{00000000-0005-0000-0000-0000E2000000}"/>
    <cellStyle name="Normal 6" xfId="396" xr:uid="{00000000-0005-0000-0000-0000E3000000}"/>
    <cellStyle name="Normal 6 10" xfId="224" xr:uid="{00000000-0005-0000-0000-0000E4000000}"/>
    <cellStyle name="Normal 6 11" xfId="225" xr:uid="{00000000-0005-0000-0000-0000E5000000}"/>
    <cellStyle name="Normal 6 12" xfId="226" xr:uid="{00000000-0005-0000-0000-0000E6000000}"/>
    <cellStyle name="Normal 6 13" xfId="227" xr:uid="{00000000-0005-0000-0000-0000E7000000}"/>
    <cellStyle name="Normal 6 14" xfId="228" xr:uid="{00000000-0005-0000-0000-0000E8000000}"/>
    <cellStyle name="Normal 6 15" xfId="229" xr:uid="{00000000-0005-0000-0000-0000E9000000}"/>
    <cellStyle name="Normal 6 16" xfId="230" xr:uid="{00000000-0005-0000-0000-0000EA000000}"/>
    <cellStyle name="Normal 6 17" xfId="231" xr:uid="{00000000-0005-0000-0000-0000EB000000}"/>
    <cellStyle name="Normal 6 18" xfId="232" xr:uid="{00000000-0005-0000-0000-0000EC000000}"/>
    <cellStyle name="Normal 6 19" xfId="233" xr:uid="{00000000-0005-0000-0000-0000ED000000}"/>
    <cellStyle name="Normal 6 2" xfId="234" xr:uid="{00000000-0005-0000-0000-0000EE000000}"/>
    <cellStyle name="Normal 6 20" xfId="235" xr:uid="{00000000-0005-0000-0000-0000EF000000}"/>
    <cellStyle name="Normal 6 21" xfId="236" xr:uid="{00000000-0005-0000-0000-0000F0000000}"/>
    <cellStyle name="Normal 6 22" xfId="237" xr:uid="{00000000-0005-0000-0000-0000F1000000}"/>
    <cellStyle name="Normal 6 23" xfId="238" xr:uid="{00000000-0005-0000-0000-0000F2000000}"/>
    <cellStyle name="Normal 6 24" xfId="239" xr:uid="{00000000-0005-0000-0000-0000F3000000}"/>
    <cellStyle name="Normal 6 25" xfId="240" xr:uid="{00000000-0005-0000-0000-0000F4000000}"/>
    <cellStyle name="Normal 6 26" xfId="241" xr:uid="{00000000-0005-0000-0000-0000F5000000}"/>
    <cellStyle name="Normal 6 27" xfId="242" xr:uid="{00000000-0005-0000-0000-0000F6000000}"/>
    <cellStyle name="Normal 6 28" xfId="243" xr:uid="{00000000-0005-0000-0000-0000F7000000}"/>
    <cellStyle name="Normal 6 29" xfId="244" xr:uid="{00000000-0005-0000-0000-0000F8000000}"/>
    <cellStyle name="Normal 6 3" xfId="245" xr:uid="{00000000-0005-0000-0000-0000F9000000}"/>
    <cellStyle name="Normal 6 30" xfId="246" xr:uid="{00000000-0005-0000-0000-0000FA000000}"/>
    <cellStyle name="Normal 6 31" xfId="247" xr:uid="{00000000-0005-0000-0000-0000FB000000}"/>
    <cellStyle name="Normal 6 32" xfId="248" xr:uid="{00000000-0005-0000-0000-0000FC000000}"/>
    <cellStyle name="Normal 6 33" xfId="249" xr:uid="{00000000-0005-0000-0000-0000FD000000}"/>
    <cellStyle name="Normal 6 34" xfId="250" xr:uid="{00000000-0005-0000-0000-0000FE000000}"/>
    <cellStyle name="Normal 6 35" xfId="251" xr:uid="{00000000-0005-0000-0000-0000FF000000}"/>
    <cellStyle name="Normal 6 36" xfId="252" xr:uid="{00000000-0005-0000-0000-000000010000}"/>
    <cellStyle name="Normal 6 37" xfId="253" xr:uid="{00000000-0005-0000-0000-000001010000}"/>
    <cellStyle name="Normal 6 38" xfId="254" xr:uid="{00000000-0005-0000-0000-000002010000}"/>
    <cellStyle name="Normal 6 39" xfId="255" xr:uid="{00000000-0005-0000-0000-000003010000}"/>
    <cellStyle name="Normal 6 4" xfId="256" xr:uid="{00000000-0005-0000-0000-000004010000}"/>
    <cellStyle name="Normal 6 5" xfId="257" xr:uid="{00000000-0005-0000-0000-000005010000}"/>
    <cellStyle name="Normal 6 6" xfId="258" xr:uid="{00000000-0005-0000-0000-000006010000}"/>
    <cellStyle name="Normal 6 7" xfId="259" xr:uid="{00000000-0005-0000-0000-000007010000}"/>
    <cellStyle name="Normal 6 8" xfId="260" xr:uid="{00000000-0005-0000-0000-000008010000}"/>
    <cellStyle name="Normal 6 9" xfId="261" xr:uid="{00000000-0005-0000-0000-000009010000}"/>
    <cellStyle name="Normal 7" xfId="262" xr:uid="{00000000-0005-0000-0000-00000A010000}"/>
    <cellStyle name="Normal 7 10" xfId="263" xr:uid="{00000000-0005-0000-0000-00000B010000}"/>
    <cellStyle name="Normal 7 11" xfId="264" xr:uid="{00000000-0005-0000-0000-00000C010000}"/>
    <cellStyle name="Normal 7 12" xfId="265" xr:uid="{00000000-0005-0000-0000-00000D010000}"/>
    <cellStyle name="Normal 7 13" xfId="266" xr:uid="{00000000-0005-0000-0000-00000E010000}"/>
    <cellStyle name="Normal 7 14" xfId="267" xr:uid="{00000000-0005-0000-0000-00000F010000}"/>
    <cellStyle name="Normal 7 15" xfId="268" xr:uid="{00000000-0005-0000-0000-000010010000}"/>
    <cellStyle name="Normal 7 16" xfId="269" xr:uid="{00000000-0005-0000-0000-000011010000}"/>
    <cellStyle name="Normal 7 17" xfId="270" xr:uid="{00000000-0005-0000-0000-000012010000}"/>
    <cellStyle name="Normal 7 18" xfId="271" xr:uid="{00000000-0005-0000-0000-000013010000}"/>
    <cellStyle name="Normal 7 19" xfId="272" xr:uid="{00000000-0005-0000-0000-000014010000}"/>
    <cellStyle name="Normal 7 2" xfId="273" xr:uid="{00000000-0005-0000-0000-000015010000}"/>
    <cellStyle name="Normal 7 20" xfId="274" xr:uid="{00000000-0005-0000-0000-000016010000}"/>
    <cellStyle name="Normal 7 21" xfId="275" xr:uid="{00000000-0005-0000-0000-000017010000}"/>
    <cellStyle name="Normal 7 22" xfId="276" xr:uid="{00000000-0005-0000-0000-000018010000}"/>
    <cellStyle name="Normal 7 23" xfId="277" xr:uid="{00000000-0005-0000-0000-000019010000}"/>
    <cellStyle name="Normal 7 24" xfId="278" xr:uid="{00000000-0005-0000-0000-00001A010000}"/>
    <cellStyle name="Normal 7 25" xfId="279" xr:uid="{00000000-0005-0000-0000-00001B010000}"/>
    <cellStyle name="Normal 7 26" xfId="280" xr:uid="{00000000-0005-0000-0000-00001C010000}"/>
    <cellStyle name="Normal 7 27" xfId="281" xr:uid="{00000000-0005-0000-0000-00001D010000}"/>
    <cellStyle name="Normal 7 28" xfId="282" xr:uid="{00000000-0005-0000-0000-00001E010000}"/>
    <cellStyle name="Normal 7 29" xfId="283" xr:uid="{00000000-0005-0000-0000-00001F010000}"/>
    <cellStyle name="Normal 7 3" xfId="284" xr:uid="{00000000-0005-0000-0000-000020010000}"/>
    <cellStyle name="Normal 7 30" xfId="285" xr:uid="{00000000-0005-0000-0000-000021010000}"/>
    <cellStyle name="Normal 7 31" xfId="286" xr:uid="{00000000-0005-0000-0000-000022010000}"/>
    <cellStyle name="Normal 7 32" xfId="287" xr:uid="{00000000-0005-0000-0000-000023010000}"/>
    <cellStyle name="Normal 7 33" xfId="288" xr:uid="{00000000-0005-0000-0000-000024010000}"/>
    <cellStyle name="Normal 7 34" xfId="289" xr:uid="{00000000-0005-0000-0000-000025010000}"/>
    <cellStyle name="Normal 7 35" xfId="290" xr:uid="{00000000-0005-0000-0000-000026010000}"/>
    <cellStyle name="Normal 7 36" xfId="291" xr:uid="{00000000-0005-0000-0000-000027010000}"/>
    <cellStyle name="Normal 7 37" xfId="292" xr:uid="{00000000-0005-0000-0000-000028010000}"/>
    <cellStyle name="Normal 7 38" xfId="293" xr:uid="{00000000-0005-0000-0000-000029010000}"/>
    <cellStyle name="Normal 7 39" xfId="294" xr:uid="{00000000-0005-0000-0000-00002A010000}"/>
    <cellStyle name="Normal 7 4" xfId="295" xr:uid="{00000000-0005-0000-0000-00002B010000}"/>
    <cellStyle name="Normal 7 5" xfId="296" xr:uid="{00000000-0005-0000-0000-00002C010000}"/>
    <cellStyle name="Normal 7 6" xfId="297" xr:uid="{00000000-0005-0000-0000-00002D010000}"/>
    <cellStyle name="Normal 7 7" xfId="298" xr:uid="{00000000-0005-0000-0000-00002E010000}"/>
    <cellStyle name="Normal 7 8" xfId="299" xr:uid="{00000000-0005-0000-0000-00002F010000}"/>
    <cellStyle name="Normal 7 9" xfId="300" xr:uid="{00000000-0005-0000-0000-000030010000}"/>
    <cellStyle name="Normal 8 10" xfId="301" xr:uid="{00000000-0005-0000-0000-000031010000}"/>
    <cellStyle name="Normal 8 11" xfId="302" xr:uid="{00000000-0005-0000-0000-000032010000}"/>
    <cellStyle name="Normal 8 12" xfId="303" xr:uid="{00000000-0005-0000-0000-000033010000}"/>
    <cellStyle name="Normal 8 13" xfId="304" xr:uid="{00000000-0005-0000-0000-000034010000}"/>
    <cellStyle name="Normal 8 14" xfId="305" xr:uid="{00000000-0005-0000-0000-000035010000}"/>
    <cellStyle name="Normal 8 15" xfId="306" xr:uid="{00000000-0005-0000-0000-000036010000}"/>
    <cellStyle name="Normal 8 16" xfId="307" xr:uid="{00000000-0005-0000-0000-000037010000}"/>
    <cellStyle name="Normal 8 17" xfId="308" xr:uid="{00000000-0005-0000-0000-000038010000}"/>
    <cellStyle name="Normal 8 18" xfId="309" xr:uid="{00000000-0005-0000-0000-000039010000}"/>
    <cellStyle name="Normal 8 19" xfId="310" xr:uid="{00000000-0005-0000-0000-00003A010000}"/>
    <cellStyle name="Normal 8 2" xfId="311" xr:uid="{00000000-0005-0000-0000-00003B010000}"/>
    <cellStyle name="Normal 8 20" xfId="312" xr:uid="{00000000-0005-0000-0000-00003C010000}"/>
    <cellStyle name="Normal 8 21" xfId="313" xr:uid="{00000000-0005-0000-0000-00003D010000}"/>
    <cellStyle name="Normal 8 22" xfId="314" xr:uid="{00000000-0005-0000-0000-00003E010000}"/>
    <cellStyle name="Normal 8 23" xfId="315" xr:uid="{00000000-0005-0000-0000-00003F010000}"/>
    <cellStyle name="Normal 8 24" xfId="316" xr:uid="{00000000-0005-0000-0000-000040010000}"/>
    <cellStyle name="Normal 8 25" xfId="317" xr:uid="{00000000-0005-0000-0000-000041010000}"/>
    <cellStyle name="Normal 8 26" xfId="318" xr:uid="{00000000-0005-0000-0000-000042010000}"/>
    <cellStyle name="Normal 8 27" xfId="319" xr:uid="{00000000-0005-0000-0000-000043010000}"/>
    <cellStyle name="Normal 8 28" xfId="320" xr:uid="{00000000-0005-0000-0000-000044010000}"/>
    <cellStyle name="Normal 8 29" xfId="321" xr:uid="{00000000-0005-0000-0000-000045010000}"/>
    <cellStyle name="Normal 8 3" xfId="322" xr:uid="{00000000-0005-0000-0000-000046010000}"/>
    <cellStyle name="Normal 8 30" xfId="323" xr:uid="{00000000-0005-0000-0000-000047010000}"/>
    <cellStyle name="Normal 8 31" xfId="324" xr:uid="{00000000-0005-0000-0000-000048010000}"/>
    <cellStyle name="Normal 8 32" xfId="325" xr:uid="{00000000-0005-0000-0000-000049010000}"/>
    <cellStyle name="Normal 8 33" xfId="326" xr:uid="{00000000-0005-0000-0000-00004A010000}"/>
    <cellStyle name="Normal 8 34" xfId="327" xr:uid="{00000000-0005-0000-0000-00004B010000}"/>
    <cellStyle name="Normal 8 35" xfId="328" xr:uid="{00000000-0005-0000-0000-00004C010000}"/>
    <cellStyle name="Normal 8 36" xfId="329" xr:uid="{00000000-0005-0000-0000-00004D010000}"/>
    <cellStyle name="Normal 8 37" xfId="330" xr:uid="{00000000-0005-0000-0000-00004E010000}"/>
    <cellStyle name="Normal 8 38" xfId="331" xr:uid="{00000000-0005-0000-0000-00004F010000}"/>
    <cellStyle name="Normal 8 39" xfId="332" xr:uid="{00000000-0005-0000-0000-000050010000}"/>
    <cellStyle name="Normal 8 4" xfId="333" xr:uid="{00000000-0005-0000-0000-000051010000}"/>
    <cellStyle name="Normal 8 5" xfId="334" xr:uid="{00000000-0005-0000-0000-000052010000}"/>
    <cellStyle name="Normal 8 6" xfId="335" xr:uid="{00000000-0005-0000-0000-000053010000}"/>
    <cellStyle name="Normal 8 7" xfId="336" xr:uid="{00000000-0005-0000-0000-000054010000}"/>
    <cellStyle name="Normal 8 8" xfId="337" xr:uid="{00000000-0005-0000-0000-000055010000}"/>
    <cellStyle name="Normal 8 9" xfId="338" xr:uid="{00000000-0005-0000-0000-000056010000}"/>
    <cellStyle name="Normal 9 10" xfId="339" xr:uid="{00000000-0005-0000-0000-000057010000}"/>
    <cellStyle name="Normal 9 11" xfId="340" xr:uid="{00000000-0005-0000-0000-000058010000}"/>
    <cellStyle name="Normal 9 12" xfId="341" xr:uid="{00000000-0005-0000-0000-000059010000}"/>
    <cellStyle name="Normal 9 13" xfId="342" xr:uid="{00000000-0005-0000-0000-00005A010000}"/>
    <cellStyle name="Normal 9 14" xfId="343" xr:uid="{00000000-0005-0000-0000-00005B010000}"/>
    <cellStyle name="Normal 9 15" xfId="344" xr:uid="{00000000-0005-0000-0000-00005C010000}"/>
    <cellStyle name="Normal 9 16" xfId="345" xr:uid="{00000000-0005-0000-0000-00005D010000}"/>
    <cellStyle name="Normal 9 17" xfId="346" xr:uid="{00000000-0005-0000-0000-00005E010000}"/>
    <cellStyle name="Normal 9 18" xfId="347" xr:uid="{00000000-0005-0000-0000-00005F010000}"/>
    <cellStyle name="Normal 9 19" xfId="348" xr:uid="{00000000-0005-0000-0000-000060010000}"/>
    <cellStyle name="Normal 9 2" xfId="349" xr:uid="{00000000-0005-0000-0000-000061010000}"/>
    <cellStyle name="Normal 9 20" xfId="350" xr:uid="{00000000-0005-0000-0000-000062010000}"/>
    <cellStyle name="Normal 9 21" xfId="351" xr:uid="{00000000-0005-0000-0000-000063010000}"/>
    <cellStyle name="Normal 9 22" xfId="352" xr:uid="{00000000-0005-0000-0000-000064010000}"/>
    <cellStyle name="Normal 9 23" xfId="353" xr:uid="{00000000-0005-0000-0000-000065010000}"/>
    <cellStyle name="Normal 9 24" xfId="354" xr:uid="{00000000-0005-0000-0000-000066010000}"/>
    <cellStyle name="Normal 9 25" xfId="355" xr:uid="{00000000-0005-0000-0000-000067010000}"/>
    <cellStyle name="Normal 9 26" xfId="356" xr:uid="{00000000-0005-0000-0000-000068010000}"/>
    <cellStyle name="Normal 9 27" xfId="357" xr:uid="{00000000-0005-0000-0000-000069010000}"/>
    <cellStyle name="Normal 9 28" xfId="358" xr:uid="{00000000-0005-0000-0000-00006A010000}"/>
    <cellStyle name="Normal 9 29" xfId="359" xr:uid="{00000000-0005-0000-0000-00006B010000}"/>
    <cellStyle name="Normal 9 3" xfId="360" xr:uid="{00000000-0005-0000-0000-00006C010000}"/>
    <cellStyle name="Normal 9 30" xfId="361" xr:uid="{00000000-0005-0000-0000-00006D010000}"/>
    <cellStyle name="Normal 9 31" xfId="362" xr:uid="{00000000-0005-0000-0000-00006E010000}"/>
    <cellStyle name="Normal 9 32" xfId="363" xr:uid="{00000000-0005-0000-0000-00006F010000}"/>
    <cellStyle name="Normal 9 33" xfId="364" xr:uid="{00000000-0005-0000-0000-000070010000}"/>
    <cellStyle name="Normal 9 34" xfId="365" xr:uid="{00000000-0005-0000-0000-000071010000}"/>
    <cellStyle name="Normal 9 35" xfId="366" xr:uid="{00000000-0005-0000-0000-000072010000}"/>
    <cellStyle name="Normal 9 36" xfId="367" xr:uid="{00000000-0005-0000-0000-000073010000}"/>
    <cellStyle name="Normal 9 37" xfId="368" xr:uid="{00000000-0005-0000-0000-000074010000}"/>
    <cellStyle name="Normal 9 38" xfId="369" xr:uid="{00000000-0005-0000-0000-000075010000}"/>
    <cellStyle name="Normal 9 39" xfId="370" xr:uid="{00000000-0005-0000-0000-000076010000}"/>
    <cellStyle name="Normal 9 4" xfId="371" xr:uid="{00000000-0005-0000-0000-000077010000}"/>
    <cellStyle name="Normal 9 5" xfId="372" xr:uid="{00000000-0005-0000-0000-000078010000}"/>
    <cellStyle name="Normal 9 6" xfId="373" xr:uid="{00000000-0005-0000-0000-000079010000}"/>
    <cellStyle name="Normal 9 7" xfId="374" xr:uid="{00000000-0005-0000-0000-00007A010000}"/>
    <cellStyle name="Normal 9 8" xfId="375" xr:uid="{00000000-0005-0000-0000-00007B010000}"/>
    <cellStyle name="Normal 9 9" xfId="376" xr:uid="{00000000-0005-0000-0000-00007C010000}"/>
    <cellStyle name="Normal_Pesquisa no referencial 10 de maio de 2013" xfId="399" xr:uid="{00000000-0005-0000-0000-00007D010000}"/>
    <cellStyle name="Nota 2" xfId="377" xr:uid="{00000000-0005-0000-0000-00007E010000}"/>
    <cellStyle name="Porcentagem" xfId="2" builtinId="5"/>
    <cellStyle name="Porcentagem 2" xfId="378" xr:uid="{00000000-0005-0000-0000-000080010000}"/>
    <cellStyle name="Porcentagem 2 2" xfId="379" xr:uid="{00000000-0005-0000-0000-000081010000}"/>
    <cellStyle name="Porcentagem 3" xfId="398" xr:uid="{00000000-0005-0000-0000-000082010000}"/>
    <cellStyle name="Separador de milhares 2" xfId="380" xr:uid="{00000000-0005-0000-0000-000083010000}"/>
    <cellStyle name="Separador de milhares 2 2" xfId="381" xr:uid="{00000000-0005-0000-0000-000084010000}"/>
    <cellStyle name="Separador de milhares 2 2 2" xfId="390" xr:uid="{00000000-0005-0000-0000-000085010000}"/>
    <cellStyle name="Separador de milhares 2 3" xfId="382" xr:uid="{00000000-0005-0000-0000-000086010000}"/>
    <cellStyle name="Separador de milhares 2 3 2" xfId="391" xr:uid="{00000000-0005-0000-0000-000087010000}"/>
    <cellStyle name="Separador de milhares 2 4" xfId="389" xr:uid="{00000000-0005-0000-0000-000088010000}"/>
    <cellStyle name="Separador de milhares 3" xfId="383" xr:uid="{00000000-0005-0000-0000-000089010000}"/>
    <cellStyle name="Separador de milhares 3 2" xfId="392" xr:uid="{00000000-0005-0000-0000-00008A010000}"/>
    <cellStyle name="Separador de milhares 4" xfId="384" xr:uid="{00000000-0005-0000-0000-00008B010000}"/>
    <cellStyle name="Separador de milhares 4 2" xfId="393" xr:uid="{00000000-0005-0000-0000-00008C010000}"/>
    <cellStyle name="Vírgula" xfId="1" builtinId="3"/>
    <cellStyle name="Vírgula 2" xfId="385" xr:uid="{00000000-0005-0000-0000-00008E010000}"/>
    <cellStyle name="Vírgula 2 2" xfId="394" xr:uid="{00000000-0005-0000-0000-00008F010000}"/>
    <cellStyle name="Vírgula 3" xfId="386" xr:uid="{00000000-0005-0000-0000-000090010000}"/>
  </cellStyles>
  <dxfs count="6"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 defaultTableStyle="TableStyleMedium9" defaultPivotStyle="PivotStyleLight16"/>
  <colors>
    <mruColors>
      <color rgb="FF00FF00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'Curva ABC'!$D$8</c:f>
              <c:strCache>
                <c:ptCount val="1"/>
                <c:pt idx="0">
                  <c:v>%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'Curva ABC'!$D$9:$D$39</c:f>
              <c:numCache>
                <c:formatCode>0.00%</c:formatCode>
                <c:ptCount val="31"/>
                <c:pt idx="0">
                  <c:v>0.11772905959284394</c:v>
                </c:pt>
                <c:pt idx="1">
                  <c:v>0.10689510710207681</c:v>
                </c:pt>
                <c:pt idx="2">
                  <c:v>9.2411160989183866E-2</c:v>
                </c:pt>
                <c:pt idx="3">
                  <c:v>7.0459801835587324E-2</c:v>
                </c:pt>
                <c:pt idx="4">
                  <c:v>6.0152771546501636E-2</c:v>
                </c:pt>
                <c:pt idx="5">
                  <c:v>5.5992363414431839E-2</c:v>
                </c:pt>
                <c:pt idx="6">
                  <c:v>5.5659093775798696E-2</c:v>
                </c:pt>
                <c:pt idx="7">
                  <c:v>3.9593070008172374E-2</c:v>
                </c:pt>
                <c:pt idx="8">
                  <c:v>2.8950875583789077E-2</c:v>
                </c:pt>
                <c:pt idx="9">
                  <c:v>2.8683844567997992E-2</c:v>
                </c:pt>
                <c:pt idx="10">
                  <c:v>2.5492229387257693E-2</c:v>
                </c:pt>
                <c:pt idx="11">
                  <c:v>2.2204655860889402E-2</c:v>
                </c:pt>
                <c:pt idx="12">
                  <c:v>2.1014640372384319E-2</c:v>
                </c:pt>
                <c:pt idx="13">
                  <c:v>2.0838049671723459E-2</c:v>
                </c:pt>
                <c:pt idx="14">
                  <c:v>2.092673969170436E-2</c:v>
                </c:pt>
                <c:pt idx="15">
                  <c:v>1.9407754602703983E-2</c:v>
                </c:pt>
                <c:pt idx="16">
                  <c:v>1.9350866899205878E-2</c:v>
                </c:pt>
                <c:pt idx="17">
                  <c:v>1.8661953162315819E-2</c:v>
                </c:pt>
                <c:pt idx="18">
                  <c:v>1.6870629726998973E-2</c:v>
                </c:pt>
                <c:pt idx="19">
                  <c:v>1.6820665757237115E-2</c:v>
                </c:pt>
                <c:pt idx="20">
                  <c:v>1.5227857219147425E-2</c:v>
                </c:pt>
                <c:pt idx="21">
                  <c:v>1.4894493645660213E-2</c:v>
                </c:pt>
                <c:pt idx="22">
                  <c:v>1.4206433396614449E-2</c:v>
                </c:pt>
                <c:pt idx="23">
                  <c:v>1.4225884713860366E-2</c:v>
                </c:pt>
                <c:pt idx="24">
                  <c:v>1.397528075169437E-2</c:v>
                </c:pt>
                <c:pt idx="25">
                  <c:v>1.2794466914423772E-2</c:v>
                </c:pt>
                <c:pt idx="26">
                  <c:v>1.3233184538978772E-2</c:v>
                </c:pt>
                <c:pt idx="27">
                  <c:v>1.2990884765382455E-2</c:v>
                </c:pt>
                <c:pt idx="28">
                  <c:v>1.1143915512590204E-2</c:v>
                </c:pt>
                <c:pt idx="29">
                  <c:v>1.0485484626190396E-2</c:v>
                </c:pt>
                <c:pt idx="30">
                  <c:v>8.7067803666531392E-3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2-4A36-BD87-420983DE4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527360"/>
        <c:axId val="131419520"/>
      </c:barChart>
      <c:lineChart>
        <c:grouping val="standard"/>
        <c:varyColors val="0"/>
        <c:ser>
          <c:idx val="1"/>
          <c:order val="1"/>
          <c:tx>
            <c:strRef>
              <c:f>'Curva ABC'!$E$8</c:f>
              <c:strCache>
                <c:ptCount val="1"/>
                <c:pt idx="0">
                  <c:v>% ACUMULADO</c:v>
                </c:pt>
              </c:strCache>
            </c:strRef>
          </c:tx>
          <c:marker>
            <c:symbol val="none"/>
          </c:marker>
          <c:val>
            <c:numRef>
              <c:f>'Curva ABC'!$E$9:$E$39</c:f>
              <c:numCache>
                <c:formatCode>0.00%</c:formatCode>
                <c:ptCount val="31"/>
                <c:pt idx="0">
                  <c:v>0.11772905959284394</c:v>
                </c:pt>
                <c:pt idx="1">
                  <c:v>0.22462416669492075</c:v>
                </c:pt>
                <c:pt idx="2">
                  <c:v>0.31703532768410458</c:v>
                </c:pt>
                <c:pt idx="3">
                  <c:v>0.38749512951969189</c:v>
                </c:pt>
                <c:pt idx="4">
                  <c:v>0.44764790106619351</c:v>
                </c:pt>
                <c:pt idx="5">
                  <c:v>0.50364026448062538</c:v>
                </c:pt>
                <c:pt idx="6">
                  <c:v>0.55929935825642407</c:v>
                </c:pt>
                <c:pt idx="7">
                  <c:v>0.59889242826459643</c:v>
                </c:pt>
                <c:pt idx="8">
                  <c:v>0.62784330384838549</c:v>
                </c:pt>
                <c:pt idx="9">
                  <c:v>0.65652714841638349</c:v>
                </c:pt>
                <c:pt idx="10">
                  <c:v>0.68201937780364119</c:v>
                </c:pt>
                <c:pt idx="11">
                  <c:v>0.70422403366453057</c:v>
                </c:pt>
                <c:pt idx="12">
                  <c:v>0.72523867403691489</c:v>
                </c:pt>
                <c:pt idx="13">
                  <c:v>0.74607672370863831</c:v>
                </c:pt>
                <c:pt idx="14">
                  <c:v>0.76700346340034264</c:v>
                </c:pt>
                <c:pt idx="15">
                  <c:v>0.78641121800304659</c:v>
                </c:pt>
                <c:pt idx="16">
                  <c:v>0.80576208490225243</c:v>
                </c:pt>
                <c:pt idx="17">
                  <c:v>0.82442403806456821</c:v>
                </c:pt>
                <c:pt idx="18">
                  <c:v>0.84129466779156714</c:v>
                </c:pt>
                <c:pt idx="19">
                  <c:v>0.8581153335488042</c:v>
                </c:pt>
                <c:pt idx="20">
                  <c:v>0.87334319076795164</c:v>
                </c:pt>
                <c:pt idx="21">
                  <c:v>0.88823768441361184</c:v>
                </c:pt>
                <c:pt idx="22">
                  <c:v>0.90244411781022627</c:v>
                </c:pt>
                <c:pt idx="23">
                  <c:v>0.91667000252408659</c:v>
                </c:pt>
                <c:pt idx="24">
                  <c:v>0.930645283275781</c:v>
                </c:pt>
                <c:pt idx="25">
                  <c:v>0.94343975019020476</c:v>
                </c:pt>
                <c:pt idx="26">
                  <c:v>0.95667293472918358</c:v>
                </c:pt>
                <c:pt idx="27">
                  <c:v>0.96966381949456604</c:v>
                </c:pt>
                <c:pt idx="28">
                  <c:v>0.98080773500715623</c:v>
                </c:pt>
                <c:pt idx="29">
                  <c:v>0.9912932196333466</c:v>
                </c:pt>
                <c:pt idx="30">
                  <c:v>0.99999999999999978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2-4A36-BD87-420983DE4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27360"/>
        <c:axId val="131419520"/>
      </c:lineChart>
      <c:catAx>
        <c:axId val="23252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1419520"/>
        <c:crossesAt val="0"/>
        <c:auto val="1"/>
        <c:lblAlgn val="ctr"/>
        <c:lblOffset val="100"/>
        <c:noMultiLvlLbl val="0"/>
      </c:catAx>
      <c:valAx>
        <c:axId val="131419520"/>
        <c:scaling>
          <c:orientation val="minMax"/>
          <c:max val="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32527360"/>
        <c:crosses val="autoZero"/>
        <c:crossBetween val="between"/>
        <c:majorUnit val="0.1"/>
        <c:minorUnit val="4.000000000000002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97" footer="0.3149606200000029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361951</xdr:colOff>
      <xdr:row>7</xdr:row>
      <xdr:rowOff>142875</xdr:rowOff>
    </xdr:from>
    <xdr:to>
      <xdr:col>22</xdr:col>
      <xdr:colOff>361951</xdr:colOff>
      <xdr:row>30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352424</xdr:colOff>
      <xdr:row>22</xdr:row>
      <xdr:rowOff>76200</xdr:rowOff>
    </xdr:to>
    <xdr:pic>
      <xdr:nvPicPr>
        <xdr:cNvPr id="2" name="Imagem 1" descr="6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67624" cy="4514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114300</xdr:rowOff>
    </xdr:from>
    <xdr:to>
      <xdr:col>12</xdr:col>
      <xdr:colOff>333374</xdr:colOff>
      <xdr:row>41</xdr:row>
      <xdr:rowOff>117475</xdr:rowOff>
    </xdr:to>
    <xdr:pic>
      <xdr:nvPicPr>
        <xdr:cNvPr id="3" name="Imagem 2" descr="5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876800"/>
          <a:ext cx="7648574" cy="3051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8</xdr:col>
      <xdr:colOff>523240</xdr:colOff>
      <xdr:row>83</xdr:row>
      <xdr:rowOff>186055</xdr:rowOff>
    </xdr:to>
    <xdr:pic>
      <xdr:nvPicPr>
        <xdr:cNvPr id="4" name="Imagem 3" descr="00000001 (1)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8382000"/>
          <a:ext cx="5400040" cy="761555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17</xdr:col>
      <xdr:colOff>85090</xdr:colOff>
      <xdr:row>83</xdr:row>
      <xdr:rowOff>186055</xdr:rowOff>
    </xdr:to>
    <xdr:pic>
      <xdr:nvPicPr>
        <xdr:cNvPr id="5" name="Imagem 4" descr="00000001.jp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00" y="8382000"/>
          <a:ext cx="5400040" cy="7615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portalibre.fgv.br/data/files/D9/07/58/08/A4760710199794F68904CBA8/RELATORIO%20INCC-M%20FECHAMENTO%20-%20Fev20%20R.pdf?utm_source=portal-fgv&amp;utm_medium=fgvnoticias&amp;utm_campaign=fgvnoticias-2020-02-2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1:J23"/>
  <sheetViews>
    <sheetView tabSelected="1" zoomScaleNormal="100" workbookViewId="0">
      <selection activeCell="F26" sqref="F26"/>
    </sheetView>
  </sheetViews>
  <sheetFormatPr defaultRowHeight="15"/>
  <cols>
    <col min="1" max="2" width="9.140625" style="403"/>
    <col min="3" max="3" width="27.7109375" style="403" customWidth="1"/>
    <col min="4" max="5" width="25.28515625" style="403" customWidth="1"/>
    <col min="6" max="6" width="22.140625" style="403" customWidth="1"/>
    <col min="7" max="7" width="21.7109375" style="285" customWidth="1"/>
    <col min="8" max="9" width="9.140625" style="403"/>
    <col min="10" max="10" width="9.5703125" style="403" bestFit="1" customWidth="1"/>
    <col min="11" max="16384" width="9.140625" style="403"/>
  </cols>
  <sheetData>
    <row r="1" spans="3:10" ht="15.75" thickBot="1">
      <c r="C1" s="766"/>
      <c r="D1" s="766"/>
      <c r="E1" s="766"/>
      <c r="F1" s="766"/>
      <c r="G1" s="767"/>
      <c r="H1" s="766"/>
      <c r="I1" s="766"/>
      <c r="J1" s="766"/>
    </row>
    <row r="2" spans="3:10">
      <c r="C2" s="889" t="s">
        <v>0</v>
      </c>
      <c r="D2" s="890"/>
      <c r="E2" s="890"/>
      <c r="F2" s="890"/>
      <c r="G2" s="891"/>
      <c r="H2" s="766"/>
      <c r="I2" s="766"/>
      <c r="J2" s="766"/>
    </row>
    <row r="3" spans="3:10" ht="15.75" thickBot="1">
      <c r="C3" s="892"/>
      <c r="D3" s="893"/>
      <c r="E3" s="893"/>
      <c r="F3" s="893"/>
      <c r="G3" s="894"/>
      <c r="H3" s="766"/>
      <c r="I3" s="766"/>
      <c r="J3" s="766"/>
    </row>
    <row r="5" spans="3:10">
      <c r="C5" s="494" t="s">
        <v>1</v>
      </c>
      <c r="D5" s="898" t="s">
        <v>2</v>
      </c>
      <c r="E5" s="898"/>
      <c r="F5" s="898"/>
      <c r="G5" s="898"/>
      <c r="H5" s="766"/>
      <c r="I5" s="766"/>
      <c r="J5" s="766"/>
    </row>
    <row r="6" spans="3:10" ht="34.5" customHeight="1">
      <c r="C6" s="899" t="s">
        <v>3</v>
      </c>
      <c r="D6" s="900"/>
      <c r="E6" s="900"/>
      <c r="F6" s="900"/>
      <c r="G6" s="901"/>
      <c r="H6" s="766"/>
      <c r="I6" s="766"/>
      <c r="J6" s="766"/>
    </row>
    <row r="7" spans="3:10">
      <c r="C7" s="493" t="s">
        <v>4</v>
      </c>
      <c r="D7" s="905">
        <f>'CRONOGRAM FÍSICO-FINANCEIRO'!AD24</f>
        <v>575</v>
      </c>
      <c r="E7" s="906"/>
      <c r="F7" s="906"/>
      <c r="G7" s="907"/>
      <c r="H7" s="766"/>
      <c r="I7" s="766"/>
      <c r="J7" s="766"/>
    </row>
    <row r="8" spans="3:10" ht="42" customHeight="1">
      <c r="C8" s="902" t="s">
        <v>5</v>
      </c>
      <c r="D8" s="903"/>
      <c r="E8" s="903"/>
      <c r="F8" s="903"/>
      <c r="G8" s="904"/>
      <c r="H8" s="766"/>
      <c r="I8" s="766"/>
      <c r="J8" s="766"/>
    </row>
    <row r="9" spans="3:10">
      <c r="C9" s="85"/>
      <c r="D9" s="85"/>
      <c r="E9" s="85" t="s">
        <v>6</v>
      </c>
      <c r="F9" s="85" t="s">
        <v>7</v>
      </c>
      <c r="G9" s="85" t="s">
        <v>7</v>
      </c>
      <c r="H9" s="766"/>
      <c r="I9" s="766"/>
      <c r="J9" s="766"/>
    </row>
    <row r="10" spans="3:10">
      <c r="C10" s="896">
        <v>1</v>
      </c>
      <c r="D10" s="896" t="s">
        <v>8</v>
      </c>
      <c r="E10" s="897">
        <f>F10/F$20</f>
        <v>7.8331080985109408E-2</v>
      </c>
      <c r="F10" s="895">
        <f>'ORÇAMENTO POR ESCOPO'!I31</f>
        <v>441324.79437946237</v>
      </c>
      <c r="G10" s="908"/>
      <c r="H10" s="766"/>
      <c r="I10" s="766"/>
      <c r="J10" s="766"/>
    </row>
    <row r="11" spans="3:10">
      <c r="C11" s="896"/>
      <c r="D11" s="896"/>
      <c r="E11" s="897"/>
      <c r="F11" s="896"/>
      <c r="G11" s="909"/>
      <c r="H11" s="766"/>
      <c r="I11" s="766"/>
      <c r="J11" s="766"/>
    </row>
    <row r="12" spans="3:10">
      <c r="C12" s="896">
        <v>2</v>
      </c>
      <c r="D12" s="896" t="s">
        <v>9</v>
      </c>
      <c r="E12" s="897">
        <f>F12/F$20</f>
        <v>0.12493762849260744</v>
      </c>
      <c r="F12" s="895">
        <f>'ORÇAMENTO POR ESCOPO'!I254</f>
        <v>703910.53603919083</v>
      </c>
      <c r="G12" s="909"/>
      <c r="H12" s="766"/>
      <c r="I12" s="766"/>
      <c r="J12" s="766"/>
    </row>
    <row r="13" spans="3:10">
      <c r="C13" s="896"/>
      <c r="D13" s="896"/>
      <c r="E13" s="897"/>
      <c r="F13" s="896"/>
      <c r="G13" s="910"/>
      <c r="H13" s="766"/>
      <c r="I13" s="766"/>
      <c r="J13" s="766"/>
    </row>
    <row r="14" spans="3:10">
      <c r="C14" s="896">
        <v>3</v>
      </c>
      <c r="D14" s="880" t="s">
        <v>10</v>
      </c>
      <c r="E14" s="897">
        <f>F14/F20</f>
        <v>0.3942209469729992</v>
      </c>
      <c r="F14" s="895">
        <f>'ORÇAMENTO POR ESCOPO'!I573</f>
        <v>2221078.4809162659</v>
      </c>
      <c r="G14" s="436">
        <f>0.3*F14</f>
        <v>666323.54427487974</v>
      </c>
      <c r="H14" s="766"/>
      <c r="I14" s="766"/>
      <c r="J14" s="766"/>
    </row>
    <row r="15" spans="3:10">
      <c r="C15" s="896"/>
      <c r="D15" s="880" t="s">
        <v>11</v>
      </c>
      <c r="E15" s="897"/>
      <c r="F15" s="896"/>
      <c r="G15" s="436">
        <f>0.7*F14</f>
        <v>1554754.936641386</v>
      </c>
      <c r="H15" s="766"/>
      <c r="I15" s="766"/>
      <c r="J15" s="36"/>
    </row>
    <row r="16" spans="3:10">
      <c r="C16" s="896">
        <v>4</v>
      </c>
      <c r="D16" s="896" t="s">
        <v>12</v>
      </c>
      <c r="E16" s="897">
        <f>F16/F20</f>
        <v>0.33713539153197036</v>
      </c>
      <c r="F16" s="895">
        <f>'ORÇAMENTO POR ESCOPO'!I906</f>
        <v>1899453.0073467304</v>
      </c>
      <c r="G16" s="908"/>
      <c r="H16" s="766"/>
      <c r="I16" s="766"/>
      <c r="J16" s="36"/>
    </row>
    <row r="17" spans="3:7">
      <c r="C17" s="896"/>
      <c r="D17" s="896"/>
      <c r="E17" s="897"/>
      <c r="F17" s="896"/>
      <c r="G17" s="909"/>
    </row>
    <row r="18" spans="3:7">
      <c r="C18" s="896">
        <v>5</v>
      </c>
      <c r="D18" s="896" t="s">
        <v>13</v>
      </c>
      <c r="E18" s="897">
        <f>F18/F20</f>
        <v>6.5374952017313567E-2</v>
      </c>
      <c r="F18" s="895">
        <f>'ORÇAMENTO POR ESCOPO'!I917</f>
        <v>368328.72588714509</v>
      </c>
      <c r="G18" s="909"/>
    </row>
    <row r="19" spans="3:7">
      <c r="C19" s="896"/>
      <c r="D19" s="896"/>
      <c r="E19" s="897"/>
      <c r="F19" s="896"/>
      <c r="G19" s="909"/>
    </row>
    <row r="20" spans="3:7">
      <c r="C20" s="896" t="s">
        <v>14</v>
      </c>
      <c r="D20" s="896" t="s">
        <v>15</v>
      </c>
      <c r="E20" s="897">
        <f>SUM(E10:E19)</f>
        <v>1</v>
      </c>
      <c r="F20" s="895">
        <f>SUM(F10:F19)</f>
        <v>5634095.5445687948</v>
      </c>
      <c r="G20" s="909"/>
    </row>
    <row r="21" spans="3:7">
      <c r="C21" s="896"/>
      <c r="D21" s="896"/>
      <c r="E21" s="897"/>
      <c r="F21" s="896"/>
      <c r="G21" s="910"/>
    </row>
    <row r="22" spans="3:7">
      <c r="C22" s="766"/>
      <c r="D22" s="766"/>
      <c r="E22" s="766"/>
      <c r="F22" s="1"/>
      <c r="G22" s="767"/>
    </row>
    <row r="23" spans="3:7">
      <c r="C23" s="766"/>
      <c r="D23" s="766"/>
      <c r="E23" s="766"/>
      <c r="F23" s="767"/>
      <c r="G23" s="767"/>
    </row>
  </sheetData>
  <mergeCells count="30">
    <mergeCell ref="C18:C19"/>
    <mergeCell ref="D18:D19"/>
    <mergeCell ref="E18:E19"/>
    <mergeCell ref="E20:E21"/>
    <mergeCell ref="C16:C17"/>
    <mergeCell ref="D16:D17"/>
    <mergeCell ref="E16:E17"/>
    <mergeCell ref="C20:C21"/>
    <mergeCell ref="D20:D21"/>
    <mergeCell ref="G10:G13"/>
    <mergeCell ref="G16:G21"/>
    <mergeCell ref="F18:F19"/>
    <mergeCell ref="F16:F17"/>
    <mergeCell ref="F20:F21"/>
    <mergeCell ref="C2:G3"/>
    <mergeCell ref="F14:F15"/>
    <mergeCell ref="E14:E15"/>
    <mergeCell ref="C14:C15"/>
    <mergeCell ref="D5:G5"/>
    <mergeCell ref="C6:G6"/>
    <mergeCell ref="F10:F11"/>
    <mergeCell ref="F12:F13"/>
    <mergeCell ref="C10:C11"/>
    <mergeCell ref="D10:D11"/>
    <mergeCell ref="C12:C13"/>
    <mergeCell ref="D12:D13"/>
    <mergeCell ref="C8:G8"/>
    <mergeCell ref="E10:E11"/>
    <mergeCell ref="E12:E13"/>
    <mergeCell ref="D7:G7"/>
  </mergeCells>
  <pageMargins left="0.51181102362204722" right="0.51181102362204722" top="0.78740157480314965" bottom="0.78740157480314965" header="0.31496062992125984" footer="0.31496062992125984"/>
  <pageSetup paperSize="9" scale="5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H12"/>
  <sheetViews>
    <sheetView workbookViewId="0">
      <selection activeCell="I26" sqref="I26"/>
    </sheetView>
  </sheetViews>
  <sheetFormatPr defaultRowHeight="15"/>
  <cols>
    <col min="2" max="2" width="22.28515625" customWidth="1"/>
    <col min="3" max="3" width="15.42578125" customWidth="1"/>
    <col min="4" max="4" width="38.5703125" customWidth="1"/>
    <col min="5" max="5" width="14.5703125" customWidth="1"/>
    <col min="6" max="6" width="16.42578125" customWidth="1"/>
    <col min="7" max="7" width="20.140625" customWidth="1"/>
    <col min="8" max="8" width="11.7109375" customWidth="1"/>
  </cols>
  <sheetData>
    <row r="3" spans="1:8" ht="30">
      <c r="A3" s="766"/>
      <c r="B3" s="546" t="s">
        <v>1126</v>
      </c>
      <c r="C3" s="546">
        <v>1</v>
      </c>
      <c r="D3" s="547" t="s">
        <v>1127</v>
      </c>
      <c r="E3" s="546" t="s">
        <v>1128</v>
      </c>
      <c r="F3" s="548" t="s">
        <v>1129</v>
      </c>
      <c r="G3" s="548" t="s">
        <v>1130</v>
      </c>
      <c r="H3" s="548" t="s">
        <v>1131</v>
      </c>
    </row>
    <row r="4" spans="1:8" ht="30">
      <c r="A4" s="766"/>
      <c r="B4" s="543" t="s">
        <v>1132</v>
      </c>
      <c r="C4" s="543" t="s">
        <v>1133</v>
      </c>
      <c r="D4" s="544" t="s">
        <v>1134</v>
      </c>
      <c r="E4" s="543" t="s">
        <v>1135</v>
      </c>
      <c r="F4" s="545" t="s">
        <v>1136</v>
      </c>
      <c r="G4" s="545">
        <v>23.9</v>
      </c>
      <c r="H4" s="545">
        <f>G4*F4</f>
        <v>193.58521999999999</v>
      </c>
    </row>
    <row r="5" spans="1:8" ht="30">
      <c r="A5" s="766"/>
      <c r="B5" s="543" t="s">
        <v>1132</v>
      </c>
      <c r="C5" s="543">
        <v>88316</v>
      </c>
      <c r="D5" s="544" t="s">
        <v>1137</v>
      </c>
      <c r="E5" s="543" t="s">
        <v>1135</v>
      </c>
      <c r="F5" s="545" t="s">
        <v>1138</v>
      </c>
      <c r="G5" s="545">
        <v>17.61</v>
      </c>
      <c r="H5" s="545">
        <f>G5*F5</f>
        <v>100.891212</v>
      </c>
    </row>
    <row r="6" spans="1:8">
      <c r="A6" s="766"/>
      <c r="B6" s="543" t="s">
        <v>1139</v>
      </c>
      <c r="C6" s="543">
        <v>134</v>
      </c>
      <c r="D6" s="544" t="s">
        <v>1140</v>
      </c>
      <c r="E6" s="543" t="s">
        <v>1141</v>
      </c>
      <c r="F6" s="545">
        <v>2000</v>
      </c>
      <c r="G6" s="545">
        <v>1.5</v>
      </c>
      <c r="H6" s="545">
        <f>G6*F6</f>
        <v>3000</v>
      </c>
    </row>
    <row r="7" spans="1:8">
      <c r="A7" s="766"/>
      <c r="B7" s="541"/>
      <c r="C7" s="541"/>
      <c r="D7" s="541"/>
      <c r="E7" s="541"/>
      <c r="F7" s="541"/>
      <c r="G7" s="548" t="s">
        <v>14</v>
      </c>
      <c r="H7" s="548">
        <f>SUM(H4:H6)</f>
        <v>3294.4764319999999</v>
      </c>
    </row>
    <row r="8" spans="1:8" s="76" customFormat="1" ht="30">
      <c r="A8" s="766"/>
      <c r="B8" s="848" t="s">
        <v>1142</v>
      </c>
      <c r="C8" s="848" t="s">
        <v>1143</v>
      </c>
      <c r="D8" s="542"/>
      <c r="E8" s="542"/>
      <c r="F8" s="542"/>
      <c r="G8" s="542"/>
      <c r="H8" s="542"/>
    </row>
    <row r="9" spans="1:8" ht="23.25" customHeight="1">
      <c r="A9" s="766"/>
      <c r="B9" s="848" t="s">
        <v>1144</v>
      </c>
      <c r="C9" s="848" t="s">
        <v>911</v>
      </c>
      <c r="D9" s="766"/>
      <c r="E9" s="766"/>
      <c r="F9" s="766"/>
      <c r="G9" s="766"/>
      <c r="H9" s="766"/>
    </row>
    <row r="10" spans="1:8">
      <c r="A10" s="766"/>
      <c r="B10" s="549"/>
      <c r="C10" s="549"/>
      <c r="D10" s="766"/>
      <c r="E10" s="766"/>
      <c r="F10" s="766"/>
      <c r="G10" s="766"/>
      <c r="H10" s="766"/>
    </row>
    <row r="11" spans="1:8">
      <c r="A11" s="766"/>
      <c r="B11" s="766"/>
      <c r="C11" s="766"/>
      <c r="D11" s="766"/>
      <c r="E11" s="766"/>
      <c r="F11" s="766"/>
      <c r="G11" s="766"/>
      <c r="H11" s="766"/>
    </row>
    <row r="12" spans="1:8">
      <c r="A12" s="766"/>
      <c r="B12" s="766"/>
      <c r="C12" s="766"/>
      <c r="D12" s="766"/>
      <c r="E12" s="766"/>
      <c r="F12" s="766"/>
      <c r="G12" s="766"/>
      <c r="H12" s="766"/>
    </row>
  </sheetData>
  <conditionalFormatting sqref="B3:G6">
    <cfRule type="expression" dxfId="5" priority="5" stopIfTrue="1">
      <formula>AND($A3&lt;&gt;"COMPOSICAO",$A3&lt;&gt;"INSUMO",$A3&lt;&gt;"")</formula>
    </cfRule>
    <cfRule type="expression" dxfId="4" priority="6" stopIfTrue="1">
      <formula>AND(OR($A3="COMPOSICAO",$A3="INSUMO",$A3&lt;&gt;""),$A3&lt;&gt;"")</formula>
    </cfRule>
  </conditionalFormatting>
  <conditionalFormatting sqref="H3:H6">
    <cfRule type="expression" dxfId="3" priority="3" stopIfTrue="1">
      <formula>AND($A3&lt;&gt;"COMPOSICAO",$A3&lt;&gt;"INSUMO",$A3&lt;&gt;"")</formula>
    </cfRule>
    <cfRule type="expression" dxfId="2" priority="4" stopIfTrue="1">
      <formula>AND(OR($A3="COMPOSICAO",$A3="INSUMO",$A3&lt;&gt;""),$A3&lt;&gt;"")</formula>
    </cfRule>
  </conditionalFormatting>
  <conditionalFormatting sqref="G7:H7">
    <cfRule type="expression" dxfId="1" priority="1" stopIfTrue="1">
      <formula>AND($A7&lt;&gt;"COMPOSICAO",$A7&lt;&gt;"INSUMO",$A7&lt;&gt;"")</formula>
    </cfRule>
    <cfRule type="expression" dxfId="0" priority="2" stopIfTrue="1">
      <formula>AND(OR($A7="COMPOSICAO",$A7="INSUMO",$A7&lt;&gt;""),$A7&lt;&gt;"")</formula>
    </cfRule>
  </conditionalFormatting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49"/>
  <sheetViews>
    <sheetView zoomScale="90" zoomScaleNormal="90" workbookViewId="0">
      <selection activeCell="K40" sqref="K40"/>
    </sheetView>
  </sheetViews>
  <sheetFormatPr defaultRowHeight="15.75"/>
  <cols>
    <col min="1" max="1" width="13.7109375" style="532" customWidth="1"/>
    <col min="2" max="2" width="110.28515625" style="642" customWidth="1"/>
    <col min="3" max="3" width="19.140625" style="576" customWidth="1"/>
    <col min="4" max="4" width="13.42578125" style="570" customWidth="1"/>
    <col min="5" max="5" width="18.5703125" style="576" customWidth="1"/>
    <col min="6" max="6" width="18.140625" style="561" customWidth="1"/>
    <col min="7" max="8" width="13.28515625" style="532" bestFit="1" customWidth="1"/>
    <col min="9" max="16384" width="9.140625" style="532"/>
  </cols>
  <sheetData>
    <row r="1" spans="1:7" ht="16.5" thickBot="1">
      <c r="A1" s="766"/>
      <c r="F1" s="884"/>
      <c r="G1" s="767"/>
    </row>
    <row r="2" spans="1:7" ht="15" customHeight="1">
      <c r="A2" s="913" t="s">
        <v>1145</v>
      </c>
      <c r="B2" s="914"/>
      <c r="C2" s="914"/>
      <c r="D2" s="914"/>
      <c r="E2" s="914"/>
      <c r="F2" s="914"/>
      <c r="G2" s="767"/>
    </row>
    <row r="3" spans="1:7" ht="15.75" customHeight="1" thickBot="1">
      <c r="A3" s="916"/>
      <c r="B3" s="917"/>
      <c r="C3" s="917"/>
      <c r="D3" s="917"/>
      <c r="E3" s="917"/>
      <c r="F3" s="917"/>
      <c r="G3" s="766"/>
    </row>
    <row r="4" spans="1:7" ht="15">
      <c r="A4" s="919" t="s">
        <v>17</v>
      </c>
      <c r="B4" s="920"/>
      <c r="C4" s="920"/>
      <c r="D4" s="920"/>
      <c r="E4" s="920"/>
      <c r="F4" s="920"/>
      <c r="G4" s="767"/>
    </row>
    <row r="5" spans="1:7" ht="15">
      <c r="A5" s="922" t="s">
        <v>3</v>
      </c>
      <c r="B5" s="923"/>
      <c r="C5" s="923"/>
      <c r="D5" s="923"/>
      <c r="E5" s="923"/>
      <c r="F5" s="923"/>
      <c r="G5" s="766"/>
    </row>
    <row r="6" spans="1:7" thickBot="1">
      <c r="A6" s="925" t="s">
        <v>867</v>
      </c>
      <c r="B6" s="926"/>
      <c r="C6" s="926"/>
      <c r="D6" s="926"/>
      <c r="E6" s="926"/>
      <c r="F6" s="926"/>
      <c r="G6" s="766"/>
    </row>
    <row r="7" spans="1:7">
      <c r="A7" s="911"/>
      <c r="B7" s="912"/>
      <c r="C7" s="912"/>
      <c r="F7" s="884"/>
      <c r="G7" s="766"/>
    </row>
    <row r="8" spans="1:7">
      <c r="A8" s="562" t="s">
        <v>19</v>
      </c>
      <c r="B8" s="706" t="s">
        <v>1146</v>
      </c>
      <c r="C8" s="577" t="s">
        <v>1147</v>
      </c>
      <c r="D8" s="571" t="s">
        <v>6</v>
      </c>
      <c r="E8" s="564" t="s">
        <v>1148</v>
      </c>
      <c r="F8" s="563" t="s">
        <v>1149</v>
      </c>
      <c r="G8" s="766"/>
    </row>
    <row r="9" spans="1:7">
      <c r="A9" s="419">
        <v>1</v>
      </c>
      <c r="B9" s="708" t="s">
        <v>97</v>
      </c>
      <c r="C9" s="579">
        <f>'ORÇAMENTO POR ESCOPO'!I56+'ORÇAMENTO POR ESCOPO'!I280+'ORÇAMENTO POR ESCOPO'!I597</f>
        <v>482013.70909489761</v>
      </c>
      <c r="D9" s="818">
        <f t="shared" ref="D9:D39" si="0">C9/$C$40</f>
        <v>0.11772905959284394</v>
      </c>
      <c r="E9" s="581">
        <f>D9</f>
        <v>0.11772905959284394</v>
      </c>
      <c r="F9" s="702" t="str">
        <f t="shared" ref="F9:F39" si="1">IF(E9&lt;$D$47,$C$47,IF(E9&lt;$D$48,$C$48,$C$49))</f>
        <v>A</v>
      </c>
      <c r="G9" s="766"/>
    </row>
    <row r="10" spans="1:7" ht="31.5">
      <c r="A10" s="419">
        <v>2</v>
      </c>
      <c r="B10" s="584" t="s">
        <v>1150</v>
      </c>
      <c r="C10" s="569">
        <f>'ORÇAMENTO POR ESCOPO'!I94+'ORÇAMENTO POR ESCOPO'!I100+'ORÇAMENTO POR ESCOPO'!I346+'ORÇAMENTO POR ESCOPO'!I359+'ORÇAMENTO POR ESCOPO'!I657+'ORÇAMENTO POR ESCOPO'!I669</f>
        <v>437656.66044189036</v>
      </c>
      <c r="D10" s="818">
        <f t="shared" si="0"/>
        <v>0.10689510710207681</v>
      </c>
      <c r="E10" s="581">
        <f t="shared" ref="E10:E39" si="2">D10+E9</f>
        <v>0.22462416669492075</v>
      </c>
      <c r="F10" s="702" t="str">
        <f t="shared" si="1"/>
        <v>A</v>
      </c>
      <c r="G10" s="766"/>
    </row>
    <row r="11" spans="1:7">
      <c r="A11" s="419">
        <v>3</v>
      </c>
      <c r="B11" s="708" t="s">
        <v>259</v>
      </c>
      <c r="C11" s="568">
        <f>'ORÇAMENTO POR ESCOPO'!I218+'ORÇAMENTO POR ESCOPO'!I521+'ORÇAMENTO POR ESCOPO'!I849</f>
        <v>378355.57868390344</v>
      </c>
      <c r="D11" s="818">
        <f t="shared" si="0"/>
        <v>9.2411160989183866E-2</v>
      </c>
      <c r="E11" s="581">
        <f t="shared" si="2"/>
        <v>0.31703532768410458</v>
      </c>
      <c r="F11" s="702" t="str">
        <f t="shared" si="1"/>
        <v>A</v>
      </c>
      <c r="G11" s="766"/>
    </row>
    <row r="12" spans="1:7">
      <c r="A12" s="419">
        <v>4</v>
      </c>
      <c r="B12" s="708" t="s">
        <v>164</v>
      </c>
      <c r="C12" s="569">
        <f>'ORÇAMENTO POR ESCOPO'!I115+'ORÇAMENTO POR ESCOPO'!I378+'ORÇAMENTO POR ESCOPO'!I690</f>
        <v>288480.9455058903</v>
      </c>
      <c r="D12" s="818">
        <f t="shared" si="0"/>
        <v>7.0459801835587324E-2</v>
      </c>
      <c r="E12" s="581">
        <f t="shared" si="2"/>
        <v>0.38749512951969189</v>
      </c>
      <c r="F12" s="702" t="str">
        <f t="shared" si="1"/>
        <v>A</v>
      </c>
      <c r="G12" s="766"/>
    </row>
    <row r="13" spans="1:7">
      <c r="A13" s="419">
        <v>5</v>
      </c>
      <c r="B13" s="586" t="s">
        <v>193</v>
      </c>
      <c r="C13" s="568">
        <f>'ORÇAMENTO POR ESCOPO'!I141+'ORÇAMENTO POR ESCOPO'!I415+'ORÇAMENTO POR ESCOPO'!I730</f>
        <v>246281.25482138549</v>
      </c>
      <c r="D13" s="818">
        <f t="shared" si="0"/>
        <v>6.0152771546501636E-2</v>
      </c>
      <c r="E13" s="581">
        <f t="shared" si="2"/>
        <v>0.44764790106619351</v>
      </c>
      <c r="F13" s="702" t="str">
        <f t="shared" si="1"/>
        <v>A</v>
      </c>
      <c r="G13" s="766"/>
    </row>
    <row r="14" spans="1:7">
      <c r="A14" s="419">
        <v>6</v>
      </c>
      <c r="B14" s="708" t="s">
        <v>238</v>
      </c>
      <c r="C14" s="569">
        <f>'ORÇAMENTO POR ESCOPO'!I191+'ORÇAMENTO POR ESCOPO'!I483+'ORÇAMENTO POR ESCOPO'!I805</f>
        <v>229247.4505760874</v>
      </c>
      <c r="D14" s="818">
        <f t="shared" si="0"/>
        <v>5.5992363414431839E-2</v>
      </c>
      <c r="E14" s="581">
        <f t="shared" si="2"/>
        <v>0.50364026448062538</v>
      </c>
      <c r="F14" s="702" t="str">
        <f t="shared" si="1"/>
        <v>A</v>
      </c>
      <c r="G14" s="766"/>
    </row>
    <row r="15" spans="1:7">
      <c r="A15" s="419">
        <v>7</v>
      </c>
      <c r="B15" s="708" t="s">
        <v>231</v>
      </c>
      <c r="C15" s="569">
        <f>'ORÇAMENTO POR ESCOPO'!I185+'ORÇAMENTO POR ESCOPO'!I474+'ORÇAMENTO POR ESCOPO'!I794</f>
        <v>227882.95709247477</v>
      </c>
      <c r="D15" s="818">
        <f t="shared" si="0"/>
        <v>5.5659093775798696E-2</v>
      </c>
      <c r="E15" s="581">
        <f t="shared" si="2"/>
        <v>0.55929935825642407</v>
      </c>
      <c r="F15" s="702" t="str">
        <f t="shared" si="1"/>
        <v>A</v>
      </c>
      <c r="G15" s="766"/>
    </row>
    <row r="16" spans="1:7">
      <c r="A16" s="419">
        <v>8</v>
      </c>
      <c r="B16" s="585" t="s">
        <v>176</v>
      </c>
      <c r="C16" s="569">
        <f>'ORÇAMENTO POR ESCOPO'!I121+'ORÇAMENTO POR ESCOPO'!I387+'ORÇAMENTO POR ESCOPO'!I700</f>
        <v>162104.4336470105</v>
      </c>
      <c r="D16" s="818">
        <f t="shared" si="0"/>
        <v>3.9593070008172374E-2</v>
      </c>
      <c r="E16" s="581">
        <f t="shared" si="2"/>
        <v>0.59889242826459643</v>
      </c>
      <c r="F16" s="702" t="str">
        <f t="shared" si="1"/>
        <v>A</v>
      </c>
      <c r="G16" s="766"/>
    </row>
    <row r="17" spans="1:7">
      <c r="A17" s="419">
        <v>9</v>
      </c>
      <c r="B17" s="587" t="s">
        <v>198</v>
      </c>
      <c r="C17" s="568">
        <f>'ORÇAMENTO POR ESCOPO'!I147+'ORÇAMENTO POR ESCOPO'!I425+'ORÇAMENTO POR ESCOPO'!I740</f>
        <v>118532.49291167624</v>
      </c>
      <c r="D17" s="818">
        <f t="shared" si="0"/>
        <v>2.8950875583789077E-2</v>
      </c>
      <c r="E17" s="581">
        <f t="shared" si="2"/>
        <v>0.62784330384838549</v>
      </c>
      <c r="F17" s="702" t="str">
        <f t="shared" si="1"/>
        <v>A</v>
      </c>
      <c r="G17" s="766"/>
    </row>
    <row r="18" spans="1:7">
      <c r="A18" s="419">
        <v>10</v>
      </c>
      <c r="B18" s="586" t="s">
        <v>248</v>
      </c>
      <c r="C18" s="568">
        <f>'ORÇAMENTO POR ESCOPO'!I203+'ORÇAMENTO POR ESCOPO'!I501+'ORÇAMENTO POR ESCOPO'!I827</f>
        <v>117439.19775744685</v>
      </c>
      <c r="D18" s="818">
        <f t="shared" si="0"/>
        <v>2.8683844567997992E-2</v>
      </c>
      <c r="E18" s="581">
        <f t="shared" si="2"/>
        <v>0.65652714841638349</v>
      </c>
      <c r="F18" s="566" t="str">
        <f t="shared" si="1"/>
        <v>B</v>
      </c>
      <c r="G18" s="766"/>
    </row>
    <row r="19" spans="1:7">
      <c r="A19" s="419">
        <v>11</v>
      </c>
      <c r="B19" s="708" t="s">
        <v>354</v>
      </c>
      <c r="C19" s="569">
        <f>'ORÇAMENTO POR ESCOPO'!I315+'ORÇAMENTO POR ESCOPO'!I625</f>
        <v>104371.8864530616</v>
      </c>
      <c r="D19" s="818">
        <f t="shared" si="0"/>
        <v>2.5492229387257693E-2</v>
      </c>
      <c r="E19" s="581">
        <f t="shared" si="2"/>
        <v>0.68201937780364119</v>
      </c>
      <c r="F19" s="566" t="str">
        <f t="shared" si="1"/>
        <v>B</v>
      </c>
      <c r="G19" s="766"/>
    </row>
    <row r="20" spans="1:7">
      <c r="A20" s="419">
        <v>12</v>
      </c>
      <c r="B20" s="708" t="s">
        <v>253</v>
      </c>
      <c r="C20" s="569">
        <f>'ORÇAMENTO POR ESCOPO'!I210+'ORÇAMENTO POR ESCOPO'!I511+'ORÇAMENTO POR ESCOPO'!I838</f>
        <v>90911.696463883316</v>
      </c>
      <c r="D20" s="818">
        <f t="shared" si="0"/>
        <v>2.2204655860889402E-2</v>
      </c>
      <c r="E20" s="581">
        <f t="shared" si="2"/>
        <v>0.70422403366453057</v>
      </c>
      <c r="F20" s="566" t="str">
        <f t="shared" si="1"/>
        <v>B</v>
      </c>
      <c r="G20" s="766"/>
    </row>
    <row r="21" spans="1:7" ht="16.5" customHeight="1">
      <c r="A21" s="419">
        <v>13</v>
      </c>
      <c r="B21" s="708" t="s">
        <v>208</v>
      </c>
      <c r="C21" s="569">
        <f>'ORÇAMENTO POR ESCOPO'!I161+'ORÇAMENTO POR ESCOPO'!I445+'ORÇAMENTO POR ESCOPO'!I761</f>
        <v>86039.4603186319</v>
      </c>
      <c r="D21" s="818">
        <f t="shared" si="0"/>
        <v>2.1014640372384319E-2</v>
      </c>
      <c r="E21" s="581">
        <f t="shared" si="2"/>
        <v>0.72523867403691489</v>
      </c>
      <c r="F21" s="566" t="str">
        <f t="shared" si="1"/>
        <v>B</v>
      </c>
      <c r="G21" s="432"/>
    </row>
    <row r="22" spans="1:7">
      <c r="A22" s="419">
        <v>14</v>
      </c>
      <c r="B22" s="586" t="s">
        <v>266</v>
      </c>
      <c r="C22" s="569">
        <f>'ORÇAMENTO POR ESCOPO'!I225+'ORÇAMENTO POR ESCOPO'!I531+'ORÇAMENTO POR ESCOPO'!I860</f>
        <v>85316.451582202804</v>
      </c>
      <c r="D22" s="818">
        <f t="shared" si="0"/>
        <v>2.0838049671723459E-2</v>
      </c>
      <c r="E22" s="581">
        <f t="shared" si="2"/>
        <v>0.74607672370863831</v>
      </c>
      <c r="F22" s="566" t="str">
        <f t="shared" si="1"/>
        <v>B</v>
      </c>
      <c r="G22" s="766"/>
    </row>
    <row r="23" spans="1:7">
      <c r="A23" s="419">
        <v>15</v>
      </c>
      <c r="B23" s="708" t="s">
        <v>187</v>
      </c>
      <c r="C23" s="569">
        <f>'ORÇAMENTO POR ESCOPO'!I135+'ORÇAMENTO POR ESCOPO'!I405+'ORÇAMENTO POR ESCOPO'!I720</f>
        <v>85679.571831685316</v>
      </c>
      <c r="D23" s="818">
        <f t="shared" si="0"/>
        <v>2.092673969170436E-2</v>
      </c>
      <c r="E23" s="581">
        <f t="shared" si="2"/>
        <v>0.76700346340034264</v>
      </c>
      <c r="F23" s="566" t="str">
        <f t="shared" si="1"/>
        <v>B</v>
      </c>
      <c r="G23" s="766"/>
    </row>
    <row r="24" spans="1:7">
      <c r="A24" s="419">
        <v>16</v>
      </c>
      <c r="B24" s="708" t="s">
        <v>222</v>
      </c>
      <c r="C24" s="569">
        <f>'ORÇAMENTO POR ESCOPO'!I177+'ORÇAMENTO POR ESCOPO'!I464+'ORÇAMENTO POR ESCOPO'!I783</f>
        <v>79460.447689004912</v>
      </c>
      <c r="D24" s="818">
        <f t="shared" si="0"/>
        <v>1.9407754602703983E-2</v>
      </c>
      <c r="E24" s="581">
        <f t="shared" si="2"/>
        <v>0.78641121800304659</v>
      </c>
      <c r="F24" s="566" t="str">
        <f t="shared" si="1"/>
        <v>B</v>
      </c>
      <c r="G24" s="766"/>
    </row>
    <row r="25" spans="1:7">
      <c r="A25" s="419">
        <v>17</v>
      </c>
      <c r="B25" s="585" t="s">
        <v>203</v>
      </c>
      <c r="C25" s="569">
        <f>'ORÇAMENTO POR ESCOPO'!I153+'ORÇAMENTO POR ESCOPO'!I435+'ORÇAMENTO POR ESCOPO'!I750</f>
        <v>79227.534480831469</v>
      </c>
      <c r="D25" s="818">
        <f t="shared" si="0"/>
        <v>1.9350866899205878E-2</v>
      </c>
      <c r="E25" s="581">
        <f t="shared" si="2"/>
        <v>0.80576208490225243</v>
      </c>
      <c r="F25" s="566" t="str">
        <f t="shared" si="1"/>
        <v>B</v>
      </c>
      <c r="G25" s="766"/>
    </row>
    <row r="26" spans="1:7">
      <c r="A26" s="419">
        <v>18</v>
      </c>
      <c r="B26" s="708" t="s">
        <v>216</v>
      </c>
      <c r="C26" s="569">
        <f>'ORÇAMENTO POR ESCOPO'!I168+'ORÇAMENTO POR ESCOPO'!I454+'ORÇAMENTO POR ESCOPO'!I772</f>
        <v>76406.940595912776</v>
      </c>
      <c r="D26" s="818">
        <f t="shared" si="0"/>
        <v>1.8661953162315819E-2</v>
      </c>
      <c r="E26" s="581">
        <f t="shared" si="2"/>
        <v>0.82442403806456821</v>
      </c>
      <c r="F26" s="566" t="str">
        <f t="shared" si="1"/>
        <v>B</v>
      </c>
      <c r="G26" s="766"/>
    </row>
    <row r="27" spans="1:7">
      <c r="A27" s="419">
        <v>19</v>
      </c>
      <c r="B27" s="708" t="s">
        <v>181</v>
      </c>
      <c r="C27" s="569">
        <f>'ORÇAMENTO POR ESCOPO'!I128+'ORÇAMENTO POR ESCOPO'!I396+'ORÇAMENTO POR ESCOPO'!I710</f>
        <v>69072.791693068997</v>
      </c>
      <c r="D27" s="818">
        <f t="shared" si="0"/>
        <v>1.6870629726998973E-2</v>
      </c>
      <c r="E27" s="581">
        <f t="shared" si="2"/>
        <v>0.84129466779156714</v>
      </c>
      <c r="F27" s="566" t="str">
        <f t="shared" si="1"/>
        <v>B</v>
      </c>
      <c r="G27" s="766"/>
    </row>
    <row r="28" spans="1:7">
      <c r="A28" s="419">
        <v>20</v>
      </c>
      <c r="B28" s="708" t="s">
        <v>118</v>
      </c>
      <c r="C28" s="579">
        <f>'ORÇAMENTO POR ESCOPO'!I69+'ORÇAMENTO POR ESCOPO'!I299+'ORÇAMENTO POR ESCOPO'!I607</f>
        <v>68868.226070364559</v>
      </c>
      <c r="D28" s="818">
        <f t="shared" si="0"/>
        <v>1.6820665757237115E-2</v>
      </c>
      <c r="E28" s="581">
        <f t="shared" si="2"/>
        <v>0.8581153335488042</v>
      </c>
      <c r="F28" s="566" t="str">
        <f t="shared" si="1"/>
        <v>B</v>
      </c>
      <c r="G28" s="766"/>
    </row>
    <row r="29" spans="1:7">
      <c r="A29" s="419">
        <v>21</v>
      </c>
      <c r="B29" s="708" t="s">
        <v>277</v>
      </c>
      <c r="C29" s="569">
        <f>'ORÇAMENTO POR ESCOPO'!I238+'ORÇAMENTO POR ESCOPO'!I549+'ORÇAMENTO POR ESCOPO'!I880</f>
        <v>62346.849326357158</v>
      </c>
      <c r="D29" s="818">
        <f t="shared" si="0"/>
        <v>1.5227857219147425E-2</v>
      </c>
      <c r="E29" s="581">
        <f t="shared" si="2"/>
        <v>0.87334319076795164</v>
      </c>
      <c r="F29" s="566" t="str">
        <f t="shared" si="1"/>
        <v>B</v>
      </c>
      <c r="G29" s="766"/>
    </row>
    <row r="30" spans="1:7">
      <c r="A30" s="419">
        <v>22</v>
      </c>
      <c r="B30" s="708" t="s">
        <v>159</v>
      </c>
      <c r="C30" s="569">
        <f>'ORÇAMENTO POR ESCOPO'!I106+'ORÇAMENTO POR ESCOPO'!I368+'ORÇAMENTO POR ESCOPO'!I679</f>
        <v>60981.971248765956</v>
      </c>
      <c r="D30" s="818">
        <f t="shared" si="0"/>
        <v>1.4894493645660213E-2</v>
      </c>
      <c r="E30" s="581">
        <f t="shared" si="2"/>
        <v>0.88823768441361184</v>
      </c>
      <c r="F30" s="567" t="str">
        <f t="shared" si="1"/>
        <v>B</v>
      </c>
      <c r="G30" s="766"/>
    </row>
    <row r="31" spans="1:7">
      <c r="A31" s="419">
        <v>23</v>
      </c>
      <c r="B31" s="587" t="s">
        <v>283</v>
      </c>
      <c r="C31" s="569">
        <f>'ORÇAMENTO POR ESCOPO'!I243+'ORÇAMENTO POR ESCOPO'!I557+'ORÇAMENTO POR ESCOPO'!I890</f>
        <v>58164.871767377874</v>
      </c>
      <c r="D31" s="818">
        <f t="shared" si="0"/>
        <v>1.4206433396614449E-2</v>
      </c>
      <c r="E31" s="581">
        <f t="shared" si="2"/>
        <v>0.90244411781022627</v>
      </c>
      <c r="F31" s="567" t="str">
        <f t="shared" si="1"/>
        <v>C</v>
      </c>
      <c r="G31" s="766"/>
    </row>
    <row r="32" spans="1:7">
      <c r="A32" s="419">
        <v>24</v>
      </c>
      <c r="B32" s="708" t="s">
        <v>243</v>
      </c>
      <c r="C32" s="569">
        <f>'ORÇAMENTO POR ESCOPO'!I197+'ORÇAMENTO POR ESCOPO'!I492+'ORÇAMENTO POR ESCOPO'!I816</f>
        <v>58244.510571976425</v>
      </c>
      <c r="D32" s="818">
        <f t="shared" si="0"/>
        <v>1.4225884713860366E-2</v>
      </c>
      <c r="E32" s="581">
        <f t="shared" si="2"/>
        <v>0.91667000252408659</v>
      </c>
      <c r="F32" s="567" t="str">
        <f t="shared" si="1"/>
        <v>C</v>
      </c>
      <c r="G32" s="766"/>
    </row>
    <row r="33" spans="1:6">
      <c r="A33" s="419">
        <v>25</v>
      </c>
      <c r="B33" s="586" t="s">
        <v>287</v>
      </c>
      <c r="C33" s="568">
        <f>'ORÇAMENTO POR ESCOPO'!I248+'ORÇAMENTO POR ESCOPO'!I566+'ORÇAMENTO POR ESCOPO'!I900</f>
        <v>57218.472092307369</v>
      </c>
      <c r="D33" s="818">
        <f t="shared" si="0"/>
        <v>1.397528075169437E-2</v>
      </c>
      <c r="E33" s="581">
        <f t="shared" si="2"/>
        <v>0.930645283275781</v>
      </c>
      <c r="F33" s="567" t="str">
        <f t="shared" si="1"/>
        <v>C</v>
      </c>
    </row>
    <row r="34" spans="1:6">
      <c r="A34" s="419">
        <v>26</v>
      </c>
      <c r="B34" s="708" t="s">
        <v>291</v>
      </c>
      <c r="C34" s="569">
        <f>'ORÇAMENTO POR ESCOPO'!I252+'ORÇAMENTO POR ESCOPO'!I571+'ORÇAMENTO POR ESCOPO'!I904</f>
        <v>52383.909925398017</v>
      </c>
      <c r="D34" s="818">
        <f t="shared" si="0"/>
        <v>1.2794466914423772E-2</v>
      </c>
      <c r="E34" s="581">
        <f t="shared" si="2"/>
        <v>0.94343975019020476</v>
      </c>
      <c r="F34" s="567" t="str">
        <f t="shared" si="1"/>
        <v>C</v>
      </c>
    </row>
    <row r="35" spans="1:6">
      <c r="A35" s="419">
        <v>27</v>
      </c>
      <c r="B35" s="707" t="s">
        <v>126</v>
      </c>
      <c r="C35" s="579">
        <f>'ORÇAMENTO POR ESCOPO'!I79+'ORÇAMENTO POR ESCOPO'!I323+'ORÇAMENTO POR ESCOPO'!I634</f>
        <v>54180.135175038187</v>
      </c>
      <c r="D35" s="818">
        <f t="shared" si="0"/>
        <v>1.3233184538978772E-2</v>
      </c>
      <c r="E35" s="581">
        <f t="shared" si="2"/>
        <v>0.95667293472918358</v>
      </c>
      <c r="F35" s="567" t="str">
        <f t="shared" si="1"/>
        <v>C</v>
      </c>
    </row>
    <row r="36" spans="1:6">
      <c r="A36" s="419">
        <v>28</v>
      </c>
      <c r="B36" s="586" t="s">
        <v>272</v>
      </c>
      <c r="C36" s="569">
        <f>'ORÇAMENTO POR ESCOPO'!I231+'ORÇAMENTO POR ESCOPO'!I540+'ORÇAMENTO POR ESCOPO'!I870</f>
        <v>53188.096225708861</v>
      </c>
      <c r="D36" s="818">
        <f t="shared" si="0"/>
        <v>1.2990884765382455E-2</v>
      </c>
      <c r="E36" s="581">
        <f t="shared" si="2"/>
        <v>0.96966381949456604</v>
      </c>
      <c r="F36" s="567" t="str">
        <f t="shared" si="1"/>
        <v>C</v>
      </c>
    </row>
    <row r="37" spans="1:6">
      <c r="A37" s="419">
        <v>29</v>
      </c>
      <c r="B37" s="708" t="s">
        <v>122</v>
      </c>
      <c r="C37" s="579">
        <f>'ORÇAMENTO POR ESCOPO'!I74+'ORÇAMENTO POR ESCOPO'!I307+'ORÇAMENTO POR ESCOPO'!I616</f>
        <v>45626.118722435414</v>
      </c>
      <c r="D37" s="818">
        <f t="shared" si="0"/>
        <v>1.1143915512590204E-2</v>
      </c>
      <c r="E37" s="581">
        <f t="shared" si="2"/>
        <v>0.98080773500715623</v>
      </c>
      <c r="F37" s="567" t="str">
        <f t="shared" si="1"/>
        <v>C</v>
      </c>
    </row>
    <row r="38" spans="1:6">
      <c r="A38" s="419">
        <v>30</v>
      </c>
      <c r="B38" s="708" t="s">
        <v>367</v>
      </c>
      <c r="C38" s="569">
        <f>'ORÇAMENTO POR ESCOPO'!I333+'ORÇAMENTO POR ESCOPO'!I644</f>
        <v>42930.329638297488</v>
      </c>
      <c r="D38" s="818">
        <f t="shared" si="0"/>
        <v>1.0485484626190396E-2</v>
      </c>
      <c r="E38" s="581">
        <f t="shared" si="2"/>
        <v>0.9912932196333466</v>
      </c>
      <c r="F38" s="567" t="str">
        <f t="shared" si="1"/>
        <v>C</v>
      </c>
    </row>
    <row r="39" spans="1:6">
      <c r="A39" s="419">
        <v>31</v>
      </c>
      <c r="B39" s="708" t="s">
        <v>107</v>
      </c>
      <c r="C39" s="579">
        <f>'ORÇAMENTO POR ESCOPO'!I64+'ORÇAMENTO POR ESCOPO'!I289</f>
        <v>35647.846957406684</v>
      </c>
      <c r="D39" s="818">
        <f t="shared" si="0"/>
        <v>8.7067803666531392E-3</v>
      </c>
      <c r="E39" s="581">
        <f t="shared" si="2"/>
        <v>0.99999999999999978</v>
      </c>
      <c r="F39" s="567" t="str">
        <f t="shared" si="1"/>
        <v>C</v>
      </c>
    </row>
    <row r="40" spans="1:6">
      <c r="A40" s="714"/>
      <c r="B40" s="60" t="s">
        <v>1151</v>
      </c>
      <c r="C40" s="578">
        <f>SUM(C9:C39)</f>
        <v>4094262.7993623796</v>
      </c>
      <c r="D40" s="572"/>
      <c r="E40" s="582"/>
      <c r="F40" s="60"/>
    </row>
    <row r="41" spans="1:6">
      <c r="A41" s="766"/>
      <c r="B41" s="592"/>
      <c r="F41" s="884"/>
    </row>
    <row r="46" spans="1:6">
      <c r="A46" s="766"/>
      <c r="C46" s="580" t="s">
        <v>1152</v>
      </c>
      <c r="D46" s="573" t="s">
        <v>6</v>
      </c>
      <c r="F46" s="884"/>
    </row>
    <row r="47" spans="1:6">
      <c r="A47" s="766"/>
      <c r="C47" s="580" t="s">
        <v>1153</v>
      </c>
      <c r="D47" s="565">
        <v>0.65</v>
      </c>
      <c r="F47" s="884"/>
    </row>
    <row r="48" spans="1:6">
      <c r="A48" s="766"/>
      <c r="C48" s="580" t="s">
        <v>1154</v>
      </c>
      <c r="D48" s="566">
        <v>0.9</v>
      </c>
      <c r="F48" s="884"/>
    </row>
    <row r="49" spans="3:4">
      <c r="C49" s="580" t="s">
        <v>1155</v>
      </c>
      <c r="D49" s="567">
        <v>1</v>
      </c>
    </row>
  </sheetData>
  <autoFilter ref="A8:F8" xr:uid="{00000000-0009-0000-0000-00000A000000}">
    <sortState xmlns:xlrd2="http://schemas.microsoft.com/office/spreadsheetml/2017/richdata2" ref="A9:F40">
      <sortCondition descending="1" ref="D8"/>
    </sortState>
  </autoFilter>
  <mergeCells count="5">
    <mergeCell ref="A2:F3"/>
    <mergeCell ref="A4:F4"/>
    <mergeCell ref="A5:F5"/>
    <mergeCell ref="A6:F6"/>
    <mergeCell ref="A7:C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O1:V7"/>
  <sheetViews>
    <sheetView workbookViewId="0">
      <selection activeCell="O8" sqref="O8"/>
    </sheetView>
  </sheetViews>
  <sheetFormatPr defaultRowHeight="15"/>
  <cols>
    <col min="15" max="15" width="19.42578125" bestFit="1" customWidth="1"/>
    <col min="16" max="16" width="10.5703125" customWidth="1"/>
    <col min="17" max="17" width="13.140625" bestFit="1" customWidth="1"/>
    <col min="18" max="18" width="11.5703125" bestFit="1" customWidth="1"/>
    <col min="19" max="19" width="18" bestFit="1" customWidth="1"/>
    <col min="21" max="21" width="11.28515625" customWidth="1"/>
    <col min="22" max="22" width="13.85546875" customWidth="1"/>
  </cols>
  <sheetData>
    <row r="1" spans="15:22" ht="15.75" thickBot="1">
      <c r="O1" s="766"/>
      <c r="P1" s="766"/>
      <c r="Q1" s="766"/>
      <c r="R1" s="766"/>
      <c r="S1" s="766"/>
      <c r="T1" s="766"/>
      <c r="U1" s="766"/>
      <c r="V1" s="766"/>
    </row>
    <row r="2" spans="15:22" ht="31.5" customHeight="1" thickBot="1">
      <c r="O2" s="824" t="s">
        <v>1082</v>
      </c>
      <c r="P2" s="825" t="s">
        <v>1156</v>
      </c>
      <c r="Q2" s="825" t="s">
        <v>1157</v>
      </c>
      <c r="R2" s="825" t="s">
        <v>1158</v>
      </c>
      <c r="S2" s="825" t="s">
        <v>1159</v>
      </c>
      <c r="T2" s="825" t="s">
        <v>1160</v>
      </c>
      <c r="U2" s="826" t="s">
        <v>1161</v>
      </c>
      <c r="V2" s="826" t="s">
        <v>1162</v>
      </c>
    </row>
    <row r="3" spans="15:22" ht="15.75" thickBot="1">
      <c r="O3" s="712" t="s">
        <v>975</v>
      </c>
      <c r="P3" s="711">
        <v>3</v>
      </c>
      <c r="Q3" s="711">
        <v>5</v>
      </c>
      <c r="R3" s="711">
        <v>3.5</v>
      </c>
      <c r="S3" s="711">
        <v>3.5</v>
      </c>
      <c r="T3" s="710">
        <f>MIN(P3:S3)</f>
        <v>3</v>
      </c>
      <c r="U3" s="996">
        <v>3.5000000000000001E-3</v>
      </c>
      <c r="V3" s="710">
        <f>ROUND(+T3*(1-$U$3),2)</f>
        <v>2.99</v>
      </c>
    </row>
    <row r="4" spans="15:22" ht="15.75" thickBot="1">
      <c r="O4" s="712" t="s">
        <v>976</v>
      </c>
      <c r="P4" s="711">
        <v>0.15</v>
      </c>
      <c r="Q4" s="711">
        <v>0.38</v>
      </c>
      <c r="R4" s="711">
        <v>0.25</v>
      </c>
      <c r="S4" s="711">
        <v>0.2</v>
      </c>
      <c r="T4" s="710">
        <f>MIN(P4:S4)</f>
        <v>0.15</v>
      </c>
      <c r="U4" s="997"/>
      <c r="V4" s="710">
        <f t="shared" ref="V4:V5" si="0">ROUND(+T4*(1-$U$3),2)</f>
        <v>0.15</v>
      </c>
    </row>
    <row r="5" spans="15:22" ht="15.75" thickBot="1">
      <c r="O5" s="712" t="s">
        <v>977</v>
      </c>
      <c r="P5" s="711">
        <v>7.2</v>
      </c>
      <c r="Q5" s="711">
        <v>4.2</v>
      </c>
      <c r="R5" s="711" t="s">
        <v>1163</v>
      </c>
      <c r="S5" s="711">
        <v>5</v>
      </c>
      <c r="T5" s="710">
        <f>MIN(P5:S5)</f>
        <v>4.2</v>
      </c>
      <c r="U5" s="998"/>
      <c r="V5" s="710">
        <f t="shared" si="0"/>
        <v>4.1900000000000004</v>
      </c>
    </row>
    <row r="6" spans="15:22">
      <c r="O6" s="766"/>
      <c r="P6" s="766"/>
      <c r="Q6" s="766"/>
      <c r="R6" s="766"/>
      <c r="S6" s="766"/>
      <c r="T6" s="766"/>
      <c r="U6" s="766"/>
      <c r="V6" s="766"/>
    </row>
    <row r="7" spans="15:22">
      <c r="O7" s="827" t="s">
        <v>1164</v>
      </c>
      <c r="P7" s="828" t="s">
        <v>1165</v>
      </c>
      <c r="Q7" s="766"/>
      <c r="R7" s="766"/>
      <c r="S7" s="766"/>
      <c r="T7" s="766"/>
      <c r="U7" s="766"/>
      <c r="V7" s="766"/>
    </row>
  </sheetData>
  <mergeCells count="1">
    <mergeCell ref="U3:U5"/>
  </mergeCells>
  <hyperlinks>
    <hyperlink ref="P7" r:id="rId1" display="https://portalibre.fgv.br/data/files/D9/07/58/08/A4760710199794F68904CBA8/RELATORIO INCC-M FECHAMENTO - Fev20 R.pdf?utm_source=portal-fgv&amp;utm_medium=fgvnoticias&amp;utm_campaign=fgvnoticias-2020-02-28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21"/>
  <sheetViews>
    <sheetView topLeftCell="A49" workbookViewId="0">
      <selection activeCell="D914" sqref="D914"/>
    </sheetView>
  </sheetViews>
  <sheetFormatPr defaultRowHeight="15"/>
  <cols>
    <col min="1" max="1" width="13.7109375" style="849" customWidth="1"/>
    <col min="2" max="2" width="90.5703125" style="59" customWidth="1"/>
    <col min="3" max="3" width="13.28515625" style="59" customWidth="1"/>
    <col min="4" max="4" width="21.7109375" style="767" customWidth="1"/>
    <col min="5" max="5" width="10.28515625" style="59" customWidth="1"/>
    <col min="6" max="6" width="13.5703125" style="59" customWidth="1"/>
    <col min="7" max="7" width="13.5703125" style="532" customWidth="1"/>
    <col min="8" max="8" width="11.5703125" style="59" customWidth="1"/>
    <col min="9" max="9" width="15.140625" style="7" customWidth="1"/>
    <col min="10" max="11" width="13.28515625" style="59" bestFit="1" customWidth="1"/>
    <col min="12" max="16384" width="9.140625" style="59"/>
  </cols>
  <sheetData>
    <row r="1" spans="1:10" ht="15.75" thickBot="1">
      <c r="B1" s="766"/>
      <c r="C1" s="766"/>
      <c r="E1" s="766"/>
      <c r="F1" s="766"/>
      <c r="G1" s="766"/>
      <c r="H1" s="766"/>
      <c r="J1" s="767"/>
    </row>
    <row r="2" spans="1:10" ht="15" customHeight="1">
      <c r="A2" s="913" t="s">
        <v>16</v>
      </c>
      <c r="B2" s="914"/>
      <c r="C2" s="914"/>
      <c r="D2" s="914"/>
      <c r="E2" s="914"/>
      <c r="F2" s="914"/>
      <c r="G2" s="914"/>
      <c r="H2" s="914"/>
      <c r="I2" s="915"/>
      <c r="J2" s="767"/>
    </row>
    <row r="3" spans="1:10" ht="15.75" customHeight="1" thickBot="1">
      <c r="A3" s="916"/>
      <c r="B3" s="917"/>
      <c r="C3" s="917"/>
      <c r="D3" s="917"/>
      <c r="E3" s="917"/>
      <c r="F3" s="917"/>
      <c r="G3" s="917"/>
      <c r="H3" s="917"/>
      <c r="I3" s="918"/>
      <c r="J3" s="766"/>
    </row>
    <row r="4" spans="1:10">
      <c r="A4" s="919" t="s">
        <v>17</v>
      </c>
      <c r="B4" s="920"/>
      <c r="C4" s="920"/>
      <c r="D4" s="920"/>
      <c r="E4" s="920"/>
      <c r="F4" s="920"/>
      <c r="G4" s="920"/>
      <c r="H4" s="920"/>
      <c r="I4" s="921"/>
      <c r="J4" s="767"/>
    </row>
    <row r="5" spans="1:10">
      <c r="A5" s="922" t="s">
        <v>3</v>
      </c>
      <c r="B5" s="923"/>
      <c r="C5" s="923"/>
      <c r="D5" s="923"/>
      <c r="E5" s="923"/>
      <c r="F5" s="923"/>
      <c r="G5" s="923"/>
      <c r="H5" s="923"/>
      <c r="I5" s="924"/>
      <c r="J5" s="766"/>
    </row>
    <row r="6" spans="1:10" ht="15.75" thickBot="1">
      <c r="A6" s="925" t="s">
        <v>18</v>
      </c>
      <c r="B6" s="926"/>
      <c r="C6" s="926"/>
      <c r="D6" s="926"/>
      <c r="E6" s="926"/>
      <c r="F6" s="926"/>
      <c r="G6" s="926"/>
      <c r="H6" s="926"/>
      <c r="I6" s="927"/>
      <c r="J6" s="766"/>
    </row>
    <row r="7" spans="1:10" ht="15.75" thickBot="1">
      <c r="A7" s="911"/>
      <c r="B7" s="912"/>
      <c r="C7" s="912"/>
      <c r="E7" s="766"/>
      <c r="F7" s="766"/>
      <c r="G7" s="766"/>
      <c r="H7" s="766"/>
      <c r="J7" s="766"/>
    </row>
    <row r="8" spans="1:10" ht="32.25" thickBot="1">
      <c r="A8" s="512" t="s">
        <v>19</v>
      </c>
      <c r="B8" s="513" t="s">
        <v>20</v>
      </c>
      <c r="C8" s="514" t="s">
        <v>21</v>
      </c>
      <c r="D8" s="784" t="s">
        <v>22</v>
      </c>
      <c r="E8" s="515" t="s">
        <v>23</v>
      </c>
      <c r="F8" s="514" t="s">
        <v>24</v>
      </c>
      <c r="G8" s="514" t="s">
        <v>25</v>
      </c>
      <c r="H8" s="516" t="s">
        <v>26</v>
      </c>
      <c r="I8" s="517" t="s">
        <v>27</v>
      </c>
      <c r="J8" s="766"/>
    </row>
    <row r="9" spans="1:10">
      <c r="A9" s="850"/>
      <c r="B9" s="68"/>
      <c r="C9" s="466"/>
      <c r="D9" s="785"/>
      <c r="E9" s="61"/>
      <c r="F9" s="61"/>
      <c r="G9" s="61"/>
      <c r="H9" s="61"/>
      <c r="I9" s="283"/>
      <c r="J9" s="766"/>
    </row>
    <row r="10" spans="1:10" ht="20.25" customHeight="1">
      <c r="A10" s="391" t="s">
        <v>28</v>
      </c>
      <c r="B10" s="419" t="s">
        <v>29</v>
      </c>
      <c r="C10" s="838">
        <f>'ESTIMATIVA DE HORAS TÉCNICAS'!C13</f>
        <v>4.4999999999999998E-2</v>
      </c>
      <c r="D10" s="786"/>
      <c r="E10" s="419"/>
      <c r="F10" s="419"/>
      <c r="G10" s="419"/>
      <c r="H10" s="419"/>
      <c r="I10" s="786"/>
      <c r="J10" s="766"/>
    </row>
    <row r="11" spans="1:10" ht="20.25" customHeight="1">
      <c r="A11" s="69"/>
      <c r="B11" s="91"/>
      <c r="C11" s="663"/>
      <c r="D11" s="787"/>
      <c r="E11" s="714"/>
      <c r="F11" s="714"/>
      <c r="G11" s="714"/>
      <c r="H11" s="714"/>
      <c r="I11" s="416"/>
      <c r="J11" s="766"/>
    </row>
    <row r="12" spans="1:10" ht="15.75">
      <c r="A12" s="426" t="s">
        <v>30</v>
      </c>
      <c r="B12" s="768" t="s">
        <v>31</v>
      </c>
      <c r="C12" s="467"/>
      <c r="D12" s="788">
        <f>'ESTIMATIVA DE HORAS TÉCNICAS'!F14*'ESTIMATIVA DE HORAS TÉCNICAS'!F$943+'ESTIMATIVA DE HORAS TÉCNICAS'!G14*'ESTIMATIVA DE HORAS TÉCNICAS'!F$942+'ESTIMATIVA DE HORAS TÉCNICAS'!H14*'ESTIMATIVA DE HORAS TÉCNICAS'!F$941+'ESTIMATIVA DE HORAS TÉCNICAS'!I14*'ESTIMATIVA DE HORAS TÉCNICAS'!F$945+'ESTIMATIVA DE HORAS TÉCNICAS'!J14*'ESTIMATIVA DE HORAS TÉCNICAS'!F$946+'ESTIMATIVA DE HORAS TÉCNICAS'!K14*'ESTIMATIVA DE HORAS TÉCNICAS'!$F$944+'ESTIMATIVA DE HORAS TÉCNICAS'!L14*'ESTIMATIVA DE HORAS TÉCNICAS'!F$951+'ESTIMATIVA DE HORAS TÉCNICAS'!M14*'ESTIMATIVA DE HORAS TÉCNICAS'!F$950+'ESTIMATIVA DE HORAS TÉCNICAS'!N14*'ESTIMATIVA DE HORAS TÉCNICAS'!F$949+'ESTIMATIVA DE HORAS TÉCNICAS'!O14*'ESTIMATIVA DE HORAS TÉCNICAS'!F$948+'ESTIMATIVA DE HORAS TÉCNICAS'!P14*'ESTIMATIVA DE HORAS TÉCNICAS'!$F$947+'ESTIMATIVA DE HORAS TÉCNICAS'!Q14*'ESTIMATIVA DE HORAS TÉCNICAS'!F$953+'ESTIMATIVA DE HORAS TÉCNICAS'!R14*'ESTIMATIVA DE HORAS TÉCNICAS'!F$954+'ESTIMATIVA DE HORAS TÉCNICAS'!S14*'ESTIMATIVA DE HORAS TÉCNICAS'!F$956+'ESTIMATIVA DE HORAS TÉCNICAS'!T14*'ESTIMATIVA DE HORAS TÉCNICAS'!F$957+'ESTIMATIVA DE HORAS TÉCNICAS'!U14*'ESTIMATIVA DE HORAS TÉCNICAS'!F$958</f>
        <v>7298.5122443083337</v>
      </c>
      <c r="E12" s="770">
        <f>'CALCULO DO FATO K'!$D$10</f>
        <v>2.3175723620309046</v>
      </c>
      <c r="F12" s="770"/>
      <c r="G12" s="770"/>
      <c r="H12" s="770">
        <f>D12*E12</f>
        <v>16914.830261353145</v>
      </c>
      <c r="I12" s="281"/>
      <c r="J12" s="766"/>
    </row>
    <row r="13" spans="1:10" ht="15.75">
      <c r="A13" s="426" t="s">
        <v>32</v>
      </c>
      <c r="B13" s="768" t="s">
        <v>33</v>
      </c>
      <c r="C13" s="467"/>
      <c r="D13" s="788">
        <f>'ESTIMATIVA DE HORAS TÉCNICAS'!F15*'ESTIMATIVA DE HORAS TÉCNICAS'!F$943+'ESTIMATIVA DE HORAS TÉCNICAS'!G15*'ESTIMATIVA DE HORAS TÉCNICAS'!F$942+'ESTIMATIVA DE HORAS TÉCNICAS'!H15*'ESTIMATIVA DE HORAS TÉCNICAS'!F$941+'ESTIMATIVA DE HORAS TÉCNICAS'!I15*'ESTIMATIVA DE HORAS TÉCNICAS'!F$945+'ESTIMATIVA DE HORAS TÉCNICAS'!J15*'ESTIMATIVA DE HORAS TÉCNICAS'!F$946+'ESTIMATIVA DE HORAS TÉCNICAS'!K15*'ESTIMATIVA DE HORAS TÉCNICAS'!$F$944+'ESTIMATIVA DE HORAS TÉCNICAS'!L15*'ESTIMATIVA DE HORAS TÉCNICAS'!F$951+'ESTIMATIVA DE HORAS TÉCNICAS'!M15*'ESTIMATIVA DE HORAS TÉCNICAS'!F$950+'ESTIMATIVA DE HORAS TÉCNICAS'!N15*'ESTIMATIVA DE HORAS TÉCNICAS'!F$949+'ESTIMATIVA DE HORAS TÉCNICAS'!O15*'ESTIMATIVA DE HORAS TÉCNICAS'!F$948+'ESTIMATIVA DE HORAS TÉCNICAS'!P15*'ESTIMATIVA DE HORAS TÉCNICAS'!$F$947+'ESTIMATIVA DE HORAS TÉCNICAS'!Q15*'ESTIMATIVA DE HORAS TÉCNICAS'!F$953+'ESTIMATIVA DE HORAS TÉCNICAS'!R15*'ESTIMATIVA DE HORAS TÉCNICAS'!F$954+'ESTIMATIVA DE HORAS TÉCNICAS'!S15*'ESTIMATIVA DE HORAS TÉCNICAS'!F$956+'ESTIMATIVA DE HORAS TÉCNICAS'!T15*'ESTIMATIVA DE HORAS TÉCNICAS'!F$957+'ESTIMATIVA DE HORAS TÉCNICAS'!U15*'ESTIMATIVA DE HORAS TÉCNICAS'!F$958</f>
        <v>8028.0050574945117</v>
      </c>
      <c r="E13" s="770">
        <f>'CALCULO DO FATO K'!$D$10</f>
        <v>2.3175723620309046</v>
      </c>
      <c r="F13" s="770"/>
      <c r="G13" s="770"/>
      <c r="H13" s="770">
        <f t="shared" ref="H13:H24" si="0">D13*E13</f>
        <v>18605.482643493604</v>
      </c>
      <c r="I13" s="281"/>
      <c r="J13" s="766"/>
    </row>
    <row r="14" spans="1:10" ht="15.75">
      <c r="A14" s="426" t="s">
        <v>34</v>
      </c>
      <c r="B14" s="768" t="s">
        <v>35</v>
      </c>
      <c r="C14" s="467"/>
      <c r="D14" s="788">
        <f>'ESTIMATIVA DE HORAS TÉCNICAS'!F16*'ESTIMATIVA DE HORAS TÉCNICAS'!F$943+'ESTIMATIVA DE HORAS TÉCNICAS'!G16*'ESTIMATIVA DE HORAS TÉCNICAS'!F$942+'ESTIMATIVA DE HORAS TÉCNICAS'!H16*'ESTIMATIVA DE HORAS TÉCNICAS'!F$941+'ESTIMATIVA DE HORAS TÉCNICAS'!I16*'ESTIMATIVA DE HORAS TÉCNICAS'!F$945+'ESTIMATIVA DE HORAS TÉCNICAS'!J16*'ESTIMATIVA DE HORAS TÉCNICAS'!F$946+'ESTIMATIVA DE HORAS TÉCNICAS'!K16*'ESTIMATIVA DE HORAS TÉCNICAS'!$F$944+'ESTIMATIVA DE HORAS TÉCNICAS'!L16*'ESTIMATIVA DE HORAS TÉCNICAS'!F$951+'ESTIMATIVA DE HORAS TÉCNICAS'!M16*'ESTIMATIVA DE HORAS TÉCNICAS'!F$950+'ESTIMATIVA DE HORAS TÉCNICAS'!N16*'ESTIMATIVA DE HORAS TÉCNICAS'!F$949+'ESTIMATIVA DE HORAS TÉCNICAS'!O16*'ESTIMATIVA DE HORAS TÉCNICAS'!F$948+'ESTIMATIVA DE HORAS TÉCNICAS'!P16*'ESTIMATIVA DE HORAS TÉCNICAS'!$F$947+'ESTIMATIVA DE HORAS TÉCNICAS'!Q16*'ESTIMATIVA DE HORAS TÉCNICAS'!F$953+'ESTIMATIVA DE HORAS TÉCNICAS'!R16*'ESTIMATIVA DE HORAS TÉCNICAS'!F$954+'ESTIMATIVA DE HORAS TÉCNICAS'!S16*'ESTIMATIVA DE HORAS TÉCNICAS'!F$956+'ESTIMATIVA DE HORAS TÉCNICAS'!T16*'ESTIMATIVA DE HORAS TÉCNICAS'!F$957+'ESTIMATIVA DE HORAS TÉCNICAS'!U16*'ESTIMATIVA DE HORAS TÉCNICAS'!F$958</f>
        <v>3367.9547931353295</v>
      </c>
      <c r="E14" s="770">
        <f>'CALCULO DO FATO K'!$D$10</f>
        <v>2.3175723620309046</v>
      </c>
      <c r="F14" s="770"/>
      <c r="G14" s="770"/>
      <c r="H14" s="770">
        <f t="shared" si="0"/>
        <v>7805.478945139952</v>
      </c>
      <c r="I14" s="281"/>
      <c r="J14" s="766"/>
    </row>
    <row r="15" spans="1:10" ht="15.75">
      <c r="A15" s="426" t="s">
        <v>36</v>
      </c>
      <c r="B15" s="768" t="s">
        <v>37</v>
      </c>
      <c r="C15" s="467"/>
      <c r="D15" s="788">
        <f>'ESTIMATIVA DE HORAS TÉCNICAS'!F17*'ESTIMATIVA DE HORAS TÉCNICAS'!F$943+'ESTIMATIVA DE HORAS TÉCNICAS'!G17*'ESTIMATIVA DE HORAS TÉCNICAS'!F$942+'ESTIMATIVA DE HORAS TÉCNICAS'!H17*'ESTIMATIVA DE HORAS TÉCNICAS'!F$941+'ESTIMATIVA DE HORAS TÉCNICAS'!I17*'ESTIMATIVA DE HORAS TÉCNICAS'!F$945+'ESTIMATIVA DE HORAS TÉCNICAS'!J17*'ESTIMATIVA DE HORAS TÉCNICAS'!F$946+'ESTIMATIVA DE HORAS TÉCNICAS'!K17*'ESTIMATIVA DE HORAS TÉCNICAS'!$F$944+'ESTIMATIVA DE HORAS TÉCNICAS'!L17*'ESTIMATIVA DE HORAS TÉCNICAS'!F$951+'ESTIMATIVA DE HORAS TÉCNICAS'!M17*'ESTIMATIVA DE HORAS TÉCNICAS'!F$950+'ESTIMATIVA DE HORAS TÉCNICAS'!N17*'ESTIMATIVA DE HORAS TÉCNICAS'!F$949+'ESTIMATIVA DE HORAS TÉCNICAS'!O17*'ESTIMATIVA DE HORAS TÉCNICAS'!F$948+'ESTIMATIVA DE HORAS TÉCNICAS'!P17*'ESTIMATIVA DE HORAS TÉCNICAS'!$F$947+'ESTIMATIVA DE HORAS TÉCNICAS'!Q17*'ESTIMATIVA DE HORAS TÉCNICAS'!F$953+'ESTIMATIVA DE HORAS TÉCNICAS'!R17*'ESTIMATIVA DE HORAS TÉCNICAS'!F$954+'ESTIMATIVA DE HORAS TÉCNICAS'!S17*'ESTIMATIVA DE HORAS TÉCNICAS'!F$956+'ESTIMATIVA DE HORAS TÉCNICAS'!T17*'ESTIMATIVA DE HORAS TÉCNICAS'!F$957+'ESTIMATIVA DE HORAS TÉCNICAS'!U17*'ESTIMATIVA DE HORAS TÉCNICAS'!F$958</f>
        <v>3367.9547931353295</v>
      </c>
      <c r="E15" s="770">
        <f>'CALCULO DO FATO K'!$D$10</f>
        <v>2.3175723620309046</v>
      </c>
      <c r="F15" s="770"/>
      <c r="G15" s="770"/>
      <c r="H15" s="770">
        <f t="shared" si="0"/>
        <v>7805.478945139952</v>
      </c>
      <c r="I15" s="281"/>
      <c r="J15" s="766"/>
    </row>
    <row r="16" spans="1:10" ht="15.75">
      <c r="A16" s="426" t="s">
        <v>38</v>
      </c>
      <c r="B16" s="768" t="s">
        <v>39</v>
      </c>
      <c r="C16" s="467"/>
      <c r="D16" s="788">
        <f>'ESTIMATIVA DE HORAS TÉCNICAS'!F18*'ESTIMATIVA DE HORAS TÉCNICAS'!F$943+'ESTIMATIVA DE HORAS TÉCNICAS'!G18*'ESTIMATIVA DE HORAS TÉCNICAS'!F$942+'ESTIMATIVA DE HORAS TÉCNICAS'!H18*'ESTIMATIVA DE HORAS TÉCNICAS'!F$941+'ESTIMATIVA DE HORAS TÉCNICAS'!I18*'ESTIMATIVA DE HORAS TÉCNICAS'!F$945+'ESTIMATIVA DE HORAS TÉCNICAS'!J18*'ESTIMATIVA DE HORAS TÉCNICAS'!F$946+'ESTIMATIVA DE HORAS TÉCNICAS'!K18*'ESTIMATIVA DE HORAS TÉCNICAS'!$F$944+'ESTIMATIVA DE HORAS TÉCNICAS'!L18*'ESTIMATIVA DE HORAS TÉCNICAS'!F$951+'ESTIMATIVA DE HORAS TÉCNICAS'!M18*'ESTIMATIVA DE HORAS TÉCNICAS'!F$950+'ESTIMATIVA DE HORAS TÉCNICAS'!N18*'ESTIMATIVA DE HORAS TÉCNICAS'!F$949+'ESTIMATIVA DE HORAS TÉCNICAS'!O18*'ESTIMATIVA DE HORAS TÉCNICAS'!F$948+'ESTIMATIVA DE HORAS TÉCNICAS'!P18*'ESTIMATIVA DE HORAS TÉCNICAS'!$F$947+'ESTIMATIVA DE HORAS TÉCNICAS'!Q18*'ESTIMATIVA DE HORAS TÉCNICAS'!F$953+'ESTIMATIVA DE HORAS TÉCNICAS'!R18*'ESTIMATIVA DE HORAS TÉCNICAS'!F$954+'ESTIMATIVA DE HORAS TÉCNICAS'!S18*'ESTIMATIVA DE HORAS TÉCNICAS'!F$956+'ESTIMATIVA DE HORAS TÉCNICAS'!T18*'ESTIMATIVA DE HORAS TÉCNICAS'!F$957+'ESTIMATIVA DE HORAS TÉCNICAS'!U18*'ESTIMATIVA DE HORAS TÉCNICAS'!F$958</f>
        <v>8728.7568704495552</v>
      </c>
      <c r="E16" s="770">
        <f>'CALCULO DO FATO K'!$D$10</f>
        <v>2.3175723620309046</v>
      </c>
      <c r="F16" s="770"/>
      <c r="G16" s="770"/>
      <c r="H16" s="770">
        <f t="shared" si="0"/>
        <v>20229.525677841262</v>
      </c>
      <c r="I16" s="281"/>
      <c r="J16" s="766"/>
    </row>
    <row r="17" spans="1:11" s="368" customFormat="1" ht="15.75">
      <c r="A17" s="426" t="s">
        <v>40</v>
      </c>
      <c r="B17" s="428" t="s">
        <v>41</v>
      </c>
      <c r="C17" s="467"/>
      <c r="D17" s="788">
        <f>'ESTIMATIVA DE HORAS TÉCNICAS'!F19*'ESTIMATIVA DE HORAS TÉCNICAS'!F$943+'ESTIMATIVA DE HORAS TÉCNICAS'!G19*'ESTIMATIVA DE HORAS TÉCNICAS'!F$942+'ESTIMATIVA DE HORAS TÉCNICAS'!H19*'ESTIMATIVA DE HORAS TÉCNICAS'!F$941+'ESTIMATIVA DE HORAS TÉCNICAS'!I19*'ESTIMATIVA DE HORAS TÉCNICAS'!F$945+'ESTIMATIVA DE HORAS TÉCNICAS'!J19*'ESTIMATIVA DE HORAS TÉCNICAS'!F$946+'ESTIMATIVA DE HORAS TÉCNICAS'!K19*'ESTIMATIVA DE HORAS TÉCNICAS'!$F$944+'ESTIMATIVA DE HORAS TÉCNICAS'!L19*'ESTIMATIVA DE HORAS TÉCNICAS'!F$951+'ESTIMATIVA DE HORAS TÉCNICAS'!M19*'ESTIMATIVA DE HORAS TÉCNICAS'!F$950+'ESTIMATIVA DE HORAS TÉCNICAS'!N19*'ESTIMATIVA DE HORAS TÉCNICAS'!F$949+'ESTIMATIVA DE HORAS TÉCNICAS'!O19*'ESTIMATIVA DE HORAS TÉCNICAS'!F$948+'ESTIMATIVA DE HORAS TÉCNICAS'!P19*'ESTIMATIVA DE HORAS TÉCNICAS'!$F$947+'ESTIMATIVA DE HORAS TÉCNICAS'!Q19*'ESTIMATIVA DE HORAS TÉCNICAS'!F$953+'ESTIMATIVA DE HORAS TÉCNICAS'!R19*'ESTIMATIVA DE HORAS TÉCNICAS'!F$954+'ESTIMATIVA DE HORAS TÉCNICAS'!S19*'ESTIMATIVA DE HORAS TÉCNICAS'!F$956+'ESTIMATIVA DE HORAS TÉCNICAS'!T19*'ESTIMATIVA DE HORAS TÉCNICAS'!F$957+'ESTIMATIVA DE HORAS TÉCNICAS'!U19*'ESTIMATIVA DE HORAS TÉCNICAS'!F$958</f>
        <v>3367.9547931353295</v>
      </c>
      <c r="E17" s="770">
        <f>'CALCULO DO FATO K'!$D$10</f>
        <v>2.3175723620309046</v>
      </c>
      <c r="F17" s="770"/>
      <c r="G17" s="770"/>
      <c r="H17" s="770">
        <f t="shared" si="0"/>
        <v>7805.478945139952</v>
      </c>
      <c r="I17" s="281"/>
      <c r="J17" s="766"/>
      <c r="K17" s="766"/>
    </row>
    <row r="18" spans="1:11" ht="15.75">
      <c r="A18" s="426" t="s">
        <v>42</v>
      </c>
      <c r="B18" s="768" t="s">
        <v>43</v>
      </c>
      <c r="C18" s="467"/>
      <c r="D18" s="788">
        <f>'ESTIMATIVA DE HORAS TÉCNICAS'!F20*'ESTIMATIVA DE HORAS TÉCNICAS'!F$943+'ESTIMATIVA DE HORAS TÉCNICAS'!G20*'ESTIMATIVA DE HORAS TÉCNICAS'!F$942+'ESTIMATIVA DE HORAS TÉCNICAS'!H20*'ESTIMATIVA DE HORAS TÉCNICAS'!F$941+'ESTIMATIVA DE HORAS TÉCNICAS'!I20*'ESTIMATIVA DE HORAS TÉCNICAS'!F$945+'ESTIMATIVA DE HORAS TÉCNICAS'!J20*'ESTIMATIVA DE HORAS TÉCNICAS'!F$946+'ESTIMATIVA DE HORAS TÉCNICAS'!K20*'ESTIMATIVA DE HORAS TÉCNICAS'!$F$944+'ESTIMATIVA DE HORAS TÉCNICAS'!L20*'ESTIMATIVA DE HORAS TÉCNICAS'!F$951+'ESTIMATIVA DE HORAS TÉCNICAS'!M20*'ESTIMATIVA DE HORAS TÉCNICAS'!F$950+'ESTIMATIVA DE HORAS TÉCNICAS'!N20*'ESTIMATIVA DE HORAS TÉCNICAS'!F$949+'ESTIMATIVA DE HORAS TÉCNICAS'!O20*'ESTIMATIVA DE HORAS TÉCNICAS'!F$948+'ESTIMATIVA DE HORAS TÉCNICAS'!P20*'ESTIMATIVA DE HORAS TÉCNICAS'!$F$947+'ESTIMATIVA DE HORAS TÉCNICAS'!Q20*'ESTIMATIVA DE HORAS TÉCNICAS'!F$953+'ESTIMATIVA DE HORAS TÉCNICAS'!R20*'ESTIMATIVA DE HORAS TÉCNICAS'!F$954+'ESTIMATIVA DE HORAS TÉCNICAS'!S20*'ESTIMATIVA DE HORAS TÉCNICAS'!F$956+'ESTIMATIVA DE HORAS TÉCNICAS'!T20*'ESTIMATIVA DE HORAS TÉCNICAS'!F$957+'ESTIMATIVA DE HORAS TÉCNICAS'!U20*'ESTIMATIVA DE HORAS TÉCNICAS'!F$958</f>
        <v>4498.0386802265111</v>
      </c>
      <c r="E18" s="770">
        <f>'CALCULO DO FATO K'!$D$10</f>
        <v>2.3175723620309046</v>
      </c>
      <c r="F18" s="770"/>
      <c r="G18" s="770"/>
      <c r="H18" s="770">
        <f t="shared" si="0"/>
        <v>10424.530128638928</v>
      </c>
      <c r="I18" s="281"/>
      <c r="J18" s="766"/>
      <c r="K18" s="766"/>
    </row>
    <row r="19" spans="1:11" ht="15.75">
      <c r="A19" s="426" t="s">
        <v>44</v>
      </c>
      <c r="B19" s="768" t="s">
        <v>45</v>
      </c>
      <c r="C19" s="467"/>
      <c r="D19" s="788">
        <f>'ESTIMATIVA DE HORAS TÉCNICAS'!F21*'ESTIMATIVA DE HORAS TÉCNICAS'!F$943+'ESTIMATIVA DE HORAS TÉCNICAS'!G21*'ESTIMATIVA DE HORAS TÉCNICAS'!F$942+'ESTIMATIVA DE HORAS TÉCNICAS'!H21*'ESTIMATIVA DE HORAS TÉCNICAS'!F$941+'ESTIMATIVA DE HORAS TÉCNICAS'!I21*'ESTIMATIVA DE HORAS TÉCNICAS'!F$945+'ESTIMATIVA DE HORAS TÉCNICAS'!J21*'ESTIMATIVA DE HORAS TÉCNICAS'!F$946+'ESTIMATIVA DE HORAS TÉCNICAS'!K21*'ESTIMATIVA DE HORAS TÉCNICAS'!$F$944+'ESTIMATIVA DE HORAS TÉCNICAS'!L21*'ESTIMATIVA DE HORAS TÉCNICAS'!F$951+'ESTIMATIVA DE HORAS TÉCNICAS'!M21*'ESTIMATIVA DE HORAS TÉCNICAS'!F$950+'ESTIMATIVA DE HORAS TÉCNICAS'!N21*'ESTIMATIVA DE HORAS TÉCNICAS'!F$949+'ESTIMATIVA DE HORAS TÉCNICAS'!O21*'ESTIMATIVA DE HORAS TÉCNICAS'!F$948+'ESTIMATIVA DE HORAS TÉCNICAS'!P21*'ESTIMATIVA DE HORAS TÉCNICAS'!$F$947+'ESTIMATIVA DE HORAS TÉCNICAS'!Q21*'ESTIMATIVA DE HORAS TÉCNICAS'!F$953+'ESTIMATIVA DE HORAS TÉCNICAS'!R21*'ESTIMATIVA DE HORAS TÉCNICAS'!F$954+'ESTIMATIVA DE HORAS TÉCNICAS'!S21*'ESTIMATIVA DE HORAS TÉCNICAS'!F$956+'ESTIMATIVA DE HORAS TÉCNICAS'!T21*'ESTIMATIVA DE HORAS TÉCNICAS'!F$957+'ESTIMATIVA DE HORAS TÉCNICAS'!U21*'ESTIMATIVA DE HORAS TÉCNICAS'!F$958</f>
        <v>6939.3374349936457</v>
      </c>
      <c r="E19" s="770">
        <f>'CALCULO DO FATO K'!$D$10</f>
        <v>2.3175723620309046</v>
      </c>
      <c r="F19" s="770"/>
      <c r="G19" s="770"/>
      <c r="H19" s="770">
        <f t="shared" si="0"/>
        <v>16082.416650147703</v>
      </c>
      <c r="I19" s="281"/>
      <c r="J19" s="766"/>
      <c r="K19" s="766"/>
    </row>
    <row r="20" spans="1:11" ht="15.75">
      <c r="A20" s="426" t="s">
        <v>46</v>
      </c>
      <c r="B20" s="768" t="s">
        <v>47</v>
      </c>
      <c r="C20" s="467"/>
      <c r="D20" s="788">
        <f>'ESTIMATIVA DE HORAS TÉCNICAS'!F22*'ESTIMATIVA DE HORAS TÉCNICAS'!F$943+'ESTIMATIVA DE HORAS TÉCNICAS'!G22*'ESTIMATIVA DE HORAS TÉCNICAS'!F$942+'ESTIMATIVA DE HORAS TÉCNICAS'!H22*'ESTIMATIVA DE HORAS TÉCNICAS'!F$941+'ESTIMATIVA DE HORAS TÉCNICAS'!I22*'ESTIMATIVA DE HORAS TÉCNICAS'!F$945+'ESTIMATIVA DE HORAS TÉCNICAS'!J22*'ESTIMATIVA DE HORAS TÉCNICAS'!F$946+'ESTIMATIVA DE HORAS TÉCNICAS'!K22*'ESTIMATIVA DE HORAS TÉCNICAS'!$F$944+'ESTIMATIVA DE HORAS TÉCNICAS'!L22*'ESTIMATIVA DE HORAS TÉCNICAS'!F$951+'ESTIMATIVA DE HORAS TÉCNICAS'!M22*'ESTIMATIVA DE HORAS TÉCNICAS'!F$950+'ESTIMATIVA DE HORAS TÉCNICAS'!N22*'ESTIMATIVA DE HORAS TÉCNICAS'!F$949+'ESTIMATIVA DE HORAS TÉCNICAS'!O22*'ESTIMATIVA DE HORAS TÉCNICAS'!F$948+'ESTIMATIVA DE HORAS TÉCNICAS'!P22*'ESTIMATIVA DE HORAS TÉCNICAS'!$F$947+'ESTIMATIVA DE HORAS TÉCNICAS'!Q22*'ESTIMATIVA DE HORAS TÉCNICAS'!F$953+'ESTIMATIVA DE HORAS TÉCNICAS'!R22*'ESTIMATIVA DE HORAS TÉCNICAS'!F$954+'ESTIMATIVA DE HORAS TÉCNICAS'!S22*'ESTIMATIVA DE HORAS TÉCNICAS'!F$956+'ESTIMATIVA DE HORAS TÉCNICAS'!T22*'ESTIMATIVA DE HORAS TÉCNICAS'!F$957+'ESTIMATIVA DE HORAS TÉCNICAS'!U22*'ESTIMATIVA DE HORAS TÉCNICAS'!F$958</f>
        <v>3809.4605425863865</v>
      </c>
      <c r="E20" s="770">
        <f>'CALCULO DO FATO K'!$D$10</f>
        <v>2.3175723620309046</v>
      </c>
      <c r="F20" s="770"/>
      <c r="G20" s="770"/>
      <c r="H20" s="770">
        <f t="shared" si="0"/>
        <v>8828.7004677454624</v>
      </c>
      <c r="I20" s="281"/>
      <c r="J20" s="766"/>
      <c r="K20" s="766"/>
    </row>
    <row r="21" spans="1:11" s="368" customFormat="1" ht="15.75">
      <c r="A21" s="426" t="s">
        <v>48</v>
      </c>
      <c r="B21" s="428" t="s">
        <v>49</v>
      </c>
      <c r="C21" s="467"/>
      <c r="D21" s="788">
        <f>'ESTIMATIVA DE HORAS TÉCNICAS'!F23*'ESTIMATIVA DE HORAS TÉCNICAS'!F$943+'ESTIMATIVA DE HORAS TÉCNICAS'!G23*'ESTIMATIVA DE HORAS TÉCNICAS'!F$942+'ESTIMATIVA DE HORAS TÉCNICAS'!H23*'ESTIMATIVA DE HORAS TÉCNICAS'!F$941+'ESTIMATIVA DE HORAS TÉCNICAS'!I23*'ESTIMATIVA DE HORAS TÉCNICAS'!F$945+'ESTIMATIVA DE HORAS TÉCNICAS'!J23*'ESTIMATIVA DE HORAS TÉCNICAS'!F$946+'ESTIMATIVA DE HORAS TÉCNICAS'!K23*'ESTIMATIVA DE HORAS TÉCNICAS'!$F$944+'ESTIMATIVA DE HORAS TÉCNICAS'!L23*'ESTIMATIVA DE HORAS TÉCNICAS'!F$951+'ESTIMATIVA DE HORAS TÉCNICAS'!M23*'ESTIMATIVA DE HORAS TÉCNICAS'!F$950+'ESTIMATIVA DE HORAS TÉCNICAS'!N23*'ESTIMATIVA DE HORAS TÉCNICAS'!F$949+'ESTIMATIVA DE HORAS TÉCNICAS'!O23*'ESTIMATIVA DE HORAS TÉCNICAS'!F$948+'ESTIMATIVA DE HORAS TÉCNICAS'!P23*'ESTIMATIVA DE HORAS TÉCNICAS'!$F$947+'ESTIMATIVA DE HORAS TÉCNICAS'!Q23*'ESTIMATIVA DE HORAS TÉCNICAS'!F$953+'ESTIMATIVA DE HORAS TÉCNICAS'!R23*'ESTIMATIVA DE HORAS TÉCNICAS'!F$954+'ESTIMATIVA DE HORAS TÉCNICAS'!S23*'ESTIMATIVA DE HORAS TÉCNICAS'!F$956+'ESTIMATIVA DE HORAS TÉCNICAS'!T23*'ESTIMATIVA DE HORAS TÉCNICAS'!F$957+'ESTIMATIVA DE HORAS TÉCNICAS'!U23*'ESTIMATIVA DE HORAS TÉCNICAS'!F$958</f>
        <v>8582.1433982433864</v>
      </c>
      <c r="E21" s="770">
        <f>'CALCULO DO FATO K'!$D$10</f>
        <v>2.3175723620309046</v>
      </c>
      <c r="F21" s="770"/>
      <c r="G21" s="770"/>
      <c r="H21" s="770">
        <f t="shared" si="0"/>
        <v>19889.738346754861</v>
      </c>
      <c r="I21" s="281"/>
      <c r="J21" s="766"/>
      <c r="K21" s="766"/>
    </row>
    <row r="22" spans="1:11" ht="15.75">
      <c r="A22" s="426" t="s">
        <v>50</v>
      </c>
      <c r="B22" s="768" t="s">
        <v>51</v>
      </c>
      <c r="C22" s="467"/>
      <c r="D22" s="788">
        <f>'ESTIMATIVA DE HORAS TÉCNICAS'!F24*'ESTIMATIVA DE HORAS TÉCNICAS'!F$943+'ESTIMATIVA DE HORAS TÉCNICAS'!G24*'ESTIMATIVA DE HORAS TÉCNICAS'!F$942+'ESTIMATIVA DE HORAS TÉCNICAS'!H24*'ESTIMATIVA DE HORAS TÉCNICAS'!F$941+'ESTIMATIVA DE HORAS TÉCNICAS'!I24*'ESTIMATIVA DE HORAS TÉCNICAS'!F$945+'ESTIMATIVA DE HORAS TÉCNICAS'!J24*'ESTIMATIVA DE HORAS TÉCNICAS'!F$946+'ESTIMATIVA DE HORAS TÉCNICAS'!K24*'ESTIMATIVA DE HORAS TÉCNICAS'!$F$944+'ESTIMATIVA DE HORAS TÉCNICAS'!L24*'ESTIMATIVA DE HORAS TÉCNICAS'!F$951+'ESTIMATIVA DE HORAS TÉCNICAS'!M24*'ESTIMATIVA DE HORAS TÉCNICAS'!F$950+'ESTIMATIVA DE HORAS TÉCNICAS'!N24*'ESTIMATIVA DE HORAS TÉCNICAS'!F$949+'ESTIMATIVA DE HORAS TÉCNICAS'!O24*'ESTIMATIVA DE HORAS TÉCNICAS'!F$948+'ESTIMATIVA DE HORAS TÉCNICAS'!P24*'ESTIMATIVA DE HORAS TÉCNICAS'!$F$947+'ESTIMATIVA DE HORAS TÉCNICAS'!Q24*'ESTIMATIVA DE HORAS TÉCNICAS'!F$953+'ESTIMATIVA DE HORAS TÉCNICAS'!R24*'ESTIMATIVA DE HORAS TÉCNICAS'!F$954+'ESTIMATIVA DE HORAS TÉCNICAS'!S24*'ESTIMATIVA DE HORAS TÉCNICAS'!F$956+'ESTIMATIVA DE HORAS TÉCNICAS'!T24*'ESTIMATIVA DE HORAS TÉCNICAS'!F$957+'ESTIMATIVA DE HORAS TÉCNICAS'!U24*'ESTIMATIVA DE HORAS TÉCNICAS'!F$958</f>
        <v>5449.3344678146314</v>
      </c>
      <c r="E22" s="770">
        <f>'CALCULO DO FATO K'!$D$10</f>
        <v>2.3175723620309046</v>
      </c>
      <c r="F22" s="770"/>
      <c r="G22" s="770"/>
      <c r="H22" s="770">
        <f t="shared" si="0"/>
        <v>12629.226954069578</v>
      </c>
      <c r="I22" s="281"/>
      <c r="J22" s="766"/>
      <c r="K22" s="766"/>
    </row>
    <row r="23" spans="1:11" ht="15.75">
      <c r="A23" s="426" t="s">
        <v>52</v>
      </c>
      <c r="B23" s="768" t="s">
        <v>53</v>
      </c>
      <c r="C23" s="467"/>
      <c r="D23" s="788">
        <f>'ESTIMATIVA DE HORAS TÉCNICAS'!F25*'ESTIMATIVA DE HORAS TÉCNICAS'!F$943+'ESTIMATIVA DE HORAS TÉCNICAS'!G25*'ESTIMATIVA DE HORAS TÉCNICAS'!F$942+'ESTIMATIVA DE HORAS TÉCNICAS'!H25*'ESTIMATIVA DE HORAS TÉCNICAS'!F$941+'ESTIMATIVA DE HORAS TÉCNICAS'!I25*'ESTIMATIVA DE HORAS TÉCNICAS'!F$945+'ESTIMATIVA DE HORAS TÉCNICAS'!J25*'ESTIMATIVA DE HORAS TÉCNICAS'!F$946+'ESTIMATIVA DE HORAS TÉCNICAS'!K25*'ESTIMATIVA DE HORAS TÉCNICAS'!$F$944+'ESTIMATIVA DE HORAS TÉCNICAS'!L25*'ESTIMATIVA DE HORAS TÉCNICAS'!F$951+'ESTIMATIVA DE HORAS TÉCNICAS'!M25*'ESTIMATIVA DE HORAS TÉCNICAS'!F$950+'ESTIMATIVA DE HORAS TÉCNICAS'!N25*'ESTIMATIVA DE HORAS TÉCNICAS'!F$949+'ESTIMATIVA DE HORAS TÉCNICAS'!O25*'ESTIMATIVA DE HORAS TÉCNICAS'!F$948+'ESTIMATIVA DE HORAS TÉCNICAS'!P25*'ESTIMATIVA DE HORAS TÉCNICAS'!$F$947+'ESTIMATIVA DE HORAS TÉCNICAS'!Q25*'ESTIMATIVA DE HORAS TÉCNICAS'!F$953+'ESTIMATIVA DE HORAS TÉCNICAS'!R25*'ESTIMATIVA DE HORAS TÉCNICAS'!F$954+'ESTIMATIVA DE HORAS TÉCNICAS'!S25*'ESTIMATIVA DE HORAS TÉCNICAS'!F$956+'ESTIMATIVA DE HORAS TÉCNICAS'!T25*'ESTIMATIVA DE HORAS TÉCNICAS'!F$957+'ESTIMATIVA DE HORAS TÉCNICAS'!U25*'ESTIMATIVA DE HORAS TÉCNICAS'!F$958</f>
        <v>7879.7796443430034</v>
      </c>
      <c r="E23" s="770">
        <f>'CALCULO DO FATO K'!$D$10</f>
        <v>2.3175723620309046</v>
      </c>
      <c r="F23" s="770"/>
      <c r="G23" s="770"/>
      <c r="H23" s="770">
        <f t="shared" si="0"/>
        <v>18261.959522623056</v>
      </c>
      <c r="I23" s="281"/>
      <c r="J23" s="766"/>
      <c r="K23" s="406"/>
    </row>
    <row r="24" spans="1:11" ht="15.75">
      <c r="A24" s="426" t="s">
        <v>54</v>
      </c>
      <c r="B24" s="768" t="s">
        <v>55</v>
      </c>
      <c r="C24" s="467"/>
      <c r="D24" s="788">
        <f>'ESTIMATIVA DE HORAS TÉCNICAS'!F26*'ESTIMATIVA DE HORAS TÉCNICAS'!F$943+'ESTIMATIVA DE HORAS TÉCNICAS'!G26*'ESTIMATIVA DE HORAS TÉCNICAS'!F$942+'ESTIMATIVA DE HORAS TÉCNICAS'!H26*'ESTIMATIVA DE HORAS TÉCNICAS'!F$941+'ESTIMATIVA DE HORAS TÉCNICAS'!I26*'ESTIMATIVA DE HORAS TÉCNICAS'!F$945+'ESTIMATIVA DE HORAS TÉCNICAS'!J26*'ESTIMATIVA DE HORAS TÉCNICAS'!F$946+'ESTIMATIVA DE HORAS TÉCNICAS'!K26*'ESTIMATIVA DE HORAS TÉCNICAS'!$F$944+'ESTIMATIVA DE HORAS TÉCNICAS'!L26*'ESTIMATIVA DE HORAS TÉCNICAS'!F$951+'ESTIMATIVA DE HORAS TÉCNICAS'!M26*'ESTIMATIVA DE HORAS TÉCNICAS'!F$950+'ESTIMATIVA DE HORAS TÉCNICAS'!N26*'ESTIMATIVA DE HORAS TÉCNICAS'!F$949+'ESTIMATIVA DE HORAS TÉCNICAS'!O26*'ESTIMATIVA DE HORAS TÉCNICAS'!F$948+'ESTIMATIVA DE HORAS TÉCNICAS'!P26*'ESTIMATIVA DE HORAS TÉCNICAS'!$F$947+'ESTIMATIVA DE HORAS TÉCNICAS'!Q26*'ESTIMATIVA DE HORAS TÉCNICAS'!F$953+'ESTIMATIVA DE HORAS TÉCNICAS'!R26*'ESTIMATIVA DE HORAS TÉCNICAS'!F$954+'ESTIMATIVA DE HORAS TÉCNICAS'!S26*'ESTIMATIVA DE HORAS TÉCNICAS'!F$956+'ESTIMATIVA DE HORAS TÉCNICAS'!T26*'ESTIMATIVA DE HORAS TÉCNICAS'!F$957+'ESTIMATIVA DE HORAS TÉCNICAS'!U26*'ESTIMATIVA DE HORAS TÉCNICAS'!F$958</f>
        <v>11063.230109499598</v>
      </c>
      <c r="E24" s="770">
        <f>'CALCULO DO FATO K'!$D$10</f>
        <v>2.3175723620309046</v>
      </c>
      <c r="F24" s="770"/>
      <c r="G24" s="770"/>
      <c r="H24" s="770">
        <f t="shared" si="0"/>
        <v>25639.836336564407</v>
      </c>
      <c r="I24" s="281"/>
      <c r="J24" s="766"/>
      <c r="K24" s="766"/>
    </row>
    <row r="25" spans="1:11" ht="31.5">
      <c r="A25" s="426" t="s">
        <v>56</v>
      </c>
      <c r="B25" s="656" t="s">
        <v>57</v>
      </c>
      <c r="C25" s="556"/>
      <c r="D25" s="789">
        <f>'ESTIMATIVA DE HORAS TÉCNICAS'!F27*'ESTIMATIVA DE HORAS TÉCNICAS'!F$943+'ESTIMATIVA DE HORAS TÉCNICAS'!G27*'ESTIMATIVA DE HORAS TÉCNICAS'!F$942+'ESTIMATIVA DE HORAS TÉCNICAS'!H27*'ESTIMATIVA DE HORAS TÉCNICAS'!F$941+'ESTIMATIVA DE HORAS TÉCNICAS'!I27*'ESTIMATIVA DE HORAS TÉCNICAS'!F$945+'ESTIMATIVA DE HORAS TÉCNICAS'!J27*'ESTIMATIVA DE HORAS TÉCNICAS'!F$946+'ESTIMATIVA DE HORAS TÉCNICAS'!K27*'ESTIMATIVA DE HORAS TÉCNICAS'!$F$944+'ESTIMATIVA DE HORAS TÉCNICAS'!L27*'ESTIMATIVA DE HORAS TÉCNICAS'!F$951+'ESTIMATIVA DE HORAS TÉCNICAS'!M27*'ESTIMATIVA DE HORAS TÉCNICAS'!F$950+'ESTIMATIVA DE HORAS TÉCNICAS'!N27*'ESTIMATIVA DE HORAS TÉCNICAS'!F$949+'ESTIMATIVA DE HORAS TÉCNICAS'!O27*'ESTIMATIVA DE HORAS TÉCNICAS'!F$948+'ESTIMATIVA DE HORAS TÉCNICAS'!P27*'ESTIMATIVA DE HORAS TÉCNICAS'!$F$947+'ESTIMATIVA DE HORAS TÉCNICAS'!Q27*'ESTIMATIVA DE HORAS TÉCNICAS'!F$953+'ESTIMATIVA DE HORAS TÉCNICAS'!R27*'ESTIMATIVA DE HORAS TÉCNICAS'!F$954+'ESTIMATIVA DE HORAS TÉCNICAS'!S27*'ESTIMATIVA DE HORAS TÉCNICAS'!F$956+'ESTIMATIVA DE HORAS TÉCNICAS'!T27*'ESTIMATIVA DE HORAS TÉCNICAS'!F$957+'ESTIMATIVA DE HORAS TÉCNICAS'!U27*'ESTIMATIVA DE HORAS TÉCNICAS'!F$958</f>
        <v>10865.846291748529</v>
      </c>
      <c r="E25" s="780">
        <f>'CALCULO DO FATO K'!$D$10</f>
        <v>2.3175723620309046</v>
      </c>
      <c r="F25" s="780"/>
      <c r="G25" s="780"/>
      <c r="H25" s="780">
        <f>D25*E25</f>
        <v>25182.385055832383</v>
      </c>
      <c r="I25" s="781"/>
      <c r="J25" s="406"/>
      <c r="K25" s="766"/>
    </row>
    <row r="26" spans="1:11" s="766" customFormat="1" ht="15.75">
      <c r="A26" s="426" t="s">
        <v>58</v>
      </c>
      <c r="B26" s="656" t="s">
        <v>59</v>
      </c>
      <c r="C26" s="556"/>
      <c r="D26" s="789">
        <f>'ESTIMATIVA DE HORAS TÉCNICAS'!F28*'ESTIMATIVA DE HORAS TÉCNICAS'!F$943+'ESTIMATIVA DE HORAS TÉCNICAS'!G28*'ESTIMATIVA DE HORAS TÉCNICAS'!F$942+'ESTIMATIVA DE HORAS TÉCNICAS'!H28*'ESTIMATIVA DE HORAS TÉCNICAS'!F$941+'ESTIMATIVA DE HORAS TÉCNICAS'!I28*'ESTIMATIVA DE HORAS TÉCNICAS'!F$945+'ESTIMATIVA DE HORAS TÉCNICAS'!J28*'ESTIMATIVA DE HORAS TÉCNICAS'!F$946+'ESTIMATIVA DE HORAS TÉCNICAS'!K28*'ESTIMATIVA DE HORAS TÉCNICAS'!$F$944+'ESTIMATIVA DE HORAS TÉCNICAS'!L28*'ESTIMATIVA DE HORAS TÉCNICAS'!F$951+'ESTIMATIVA DE HORAS TÉCNICAS'!M28*'ESTIMATIVA DE HORAS TÉCNICAS'!F$950+'ESTIMATIVA DE HORAS TÉCNICAS'!N28*'ESTIMATIVA DE HORAS TÉCNICAS'!F$949+'ESTIMATIVA DE HORAS TÉCNICAS'!O28*'ESTIMATIVA DE HORAS TÉCNICAS'!F$948+'ESTIMATIVA DE HORAS TÉCNICAS'!P28*'ESTIMATIVA DE HORAS TÉCNICAS'!$F$947+'ESTIMATIVA DE HORAS TÉCNICAS'!Q28*'ESTIMATIVA DE HORAS TÉCNICAS'!F$953+'ESTIMATIVA DE HORAS TÉCNICAS'!R28*'ESTIMATIVA DE HORAS TÉCNICAS'!F$954+'ESTIMATIVA DE HORAS TÉCNICAS'!S28*'ESTIMATIVA DE HORAS TÉCNICAS'!F$956+'ESTIMATIVA DE HORAS TÉCNICAS'!T28*'ESTIMATIVA DE HORAS TÉCNICAS'!F$957+'ESTIMATIVA DE HORAS TÉCNICAS'!U28*'ESTIMATIVA DE HORAS TÉCNICAS'!F$958</f>
        <v>21579.570400439155</v>
      </c>
      <c r="E26" s="780">
        <f>'CALCULO DO FATO K'!$D$10</f>
        <v>2.3175723620309046</v>
      </c>
      <c r="F26" s="780"/>
      <c r="G26" s="780"/>
      <c r="H26" s="780">
        <f>D26*E26</f>
        <v>50012.215944557967</v>
      </c>
      <c r="I26" s="781"/>
      <c r="J26" s="406"/>
      <c r="K26" s="835"/>
    </row>
    <row r="27" spans="1:11" ht="41.25" customHeight="1">
      <c r="A27" s="426" t="s">
        <v>60</v>
      </c>
      <c r="B27" s="783" t="s">
        <v>61</v>
      </c>
      <c r="C27" s="782"/>
      <c r="D27" s="789"/>
      <c r="E27" s="780"/>
      <c r="F27" s="780">
        <f>'Orç. Laudo Pericial bloco C'!H24</f>
        <v>126956.88468868588</v>
      </c>
      <c r="G27" s="780">
        <f>'CALCULO DO FATO K'!D11</f>
        <v>1.2004415011037526</v>
      </c>
      <c r="H27" s="780">
        <f>F27*G27</f>
        <v>152404.31323114209</v>
      </c>
      <c r="I27" s="781"/>
      <c r="J27" s="406"/>
      <c r="K27" s="766"/>
    </row>
    <row r="28" spans="1:11" ht="16.5" customHeight="1">
      <c r="A28" s="426" t="s">
        <v>62</v>
      </c>
      <c r="B28" s="768" t="s">
        <v>63</v>
      </c>
      <c r="C28" s="468"/>
      <c r="D28" s="788"/>
      <c r="E28" s="770"/>
      <c r="F28" s="770">
        <f>'Laudo Pericial laje da praça'!H18</f>
        <v>17896.594759920801</v>
      </c>
      <c r="G28" s="770">
        <f>'CALCULO DO FATO K'!D11</f>
        <v>1.2004415011037526</v>
      </c>
      <c r="H28" s="770">
        <f>F28*G28</f>
        <v>21483.815078244879</v>
      </c>
      <c r="I28" s="282"/>
      <c r="J28" s="766"/>
      <c r="K28" s="766"/>
    </row>
    <row r="29" spans="1:11" s="713" customFormat="1" ht="16.5" customHeight="1">
      <c r="A29" s="426" t="s">
        <v>64</v>
      </c>
      <c r="B29" s="768" t="s">
        <v>65</v>
      </c>
      <c r="C29" s="467"/>
      <c r="D29" s="788"/>
      <c r="E29" s="770"/>
      <c r="F29" s="770">
        <f>'OUTROS CUSTOS DIRETOS'!F16</f>
        <v>1099.08</v>
      </c>
      <c r="G29" s="770">
        <f>'CALCULO DO FATO K'!$D$11</f>
        <v>1.2004415011037526</v>
      </c>
      <c r="H29" s="770">
        <f>F29*G29</f>
        <v>1319.3812450331122</v>
      </c>
      <c r="I29" s="282"/>
      <c r="J29" s="766"/>
      <c r="K29" s="766"/>
    </row>
    <row r="30" spans="1:11" ht="16.5" customHeight="1">
      <c r="A30" s="426"/>
      <c r="B30" s="768"/>
      <c r="C30" s="467"/>
      <c r="D30" s="788"/>
      <c r="E30" s="770"/>
      <c r="F30" s="770"/>
      <c r="G30" s="770"/>
      <c r="H30" s="770"/>
      <c r="I30" s="281"/>
      <c r="J30" s="766"/>
      <c r="K30" s="766"/>
    </row>
    <row r="31" spans="1:11" s="403" customFormat="1" ht="16.5" customHeight="1">
      <c r="A31" s="851"/>
      <c r="B31" s="312" t="s">
        <v>66</v>
      </c>
      <c r="C31" s="469"/>
      <c r="D31" s="790"/>
      <c r="E31" s="313"/>
      <c r="F31" s="313"/>
      <c r="G31" s="313"/>
      <c r="H31" s="313"/>
      <c r="I31" s="310">
        <f>SUM(H12:H29)</f>
        <v>441324.79437946237</v>
      </c>
      <c r="J31" s="766"/>
      <c r="K31" s="767"/>
    </row>
    <row r="32" spans="1:11" ht="15.75">
      <c r="A32" s="426"/>
      <c r="B32" s="768"/>
      <c r="C32" s="467"/>
      <c r="D32" s="788"/>
      <c r="E32" s="770"/>
      <c r="F32" s="714"/>
      <c r="G32" s="714"/>
      <c r="H32" s="714"/>
      <c r="I32" s="416"/>
      <c r="J32" s="766"/>
      <c r="K32" s="766"/>
    </row>
    <row r="33" spans="1:10" ht="15.75">
      <c r="A33" s="391" t="s">
        <v>67</v>
      </c>
      <c r="B33" s="419" t="s">
        <v>9</v>
      </c>
      <c r="C33" s="472">
        <f>'ESTIMATIVA DE HORAS TÉCNICAS'!C32</f>
        <v>0.13</v>
      </c>
      <c r="D33" s="791"/>
      <c r="E33" s="473"/>
      <c r="F33" s="473"/>
      <c r="G33" s="473"/>
      <c r="H33" s="473"/>
      <c r="I33" s="791"/>
      <c r="J33" s="767"/>
    </row>
    <row r="34" spans="1:10" ht="15.75">
      <c r="A34" s="426"/>
      <c r="B34" s="91"/>
      <c r="C34" s="467"/>
      <c r="D34" s="788"/>
      <c r="E34" s="770"/>
      <c r="F34" s="714"/>
      <c r="G34" s="714"/>
      <c r="H34" s="714"/>
      <c r="I34" s="416"/>
      <c r="J34" s="766"/>
    </row>
    <row r="35" spans="1:10" ht="15.75">
      <c r="A35" s="391" t="s">
        <v>68</v>
      </c>
      <c r="B35" s="419" t="s">
        <v>69</v>
      </c>
      <c r="C35" s="473"/>
      <c r="D35" s="791"/>
      <c r="E35" s="473"/>
      <c r="F35" s="473"/>
      <c r="G35" s="473"/>
      <c r="H35" s="473"/>
      <c r="I35" s="791"/>
      <c r="J35" s="766"/>
    </row>
    <row r="36" spans="1:10" ht="15.75">
      <c r="A36" s="426"/>
      <c r="B36" s="91"/>
      <c r="C36" s="467"/>
      <c r="D36" s="788"/>
      <c r="E36" s="770"/>
      <c r="F36" s="714"/>
      <c r="G36" s="714"/>
      <c r="H36" s="714"/>
      <c r="I36" s="416"/>
      <c r="J36" s="766"/>
    </row>
    <row r="37" spans="1:10" ht="15.75">
      <c r="A37" s="426" t="s">
        <v>70</v>
      </c>
      <c r="B37" s="768" t="s">
        <v>71</v>
      </c>
      <c r="C37" s="467"/>
      <c r="D37" s="792">
        <f>'ESTIMATIVA DE HORAS TÉCNICAS'!F35*'ESTIMATIVA DE HORAS TÉCNICAS'!F$943+'ESTIMATIVA DE HORAS TÉCNICAS'!G35*'ESTIMATIVA DE HORAS TÉCNICAS'!F$942+'ESTIMATIVA DE HORAS TÉCNICAS'!H35*'ESTIMATIVA DE HORAS TÉCNICAS'!F$941+'ESTIMATIVA DE HORAS TÉCNICAS'!I35*'ESTIMATIVA DE HORAS TÉCNICAS'!F$945+'ESTIMATIVA DE HORAS TÉCNICAS'!J35*'ESTIMATIVA DE HORAS TÉCNICAS'!F$946+'ESTIMATIVA DE HORAS TÉCNICAS'!K35*'ESTIMATIVA DE HORAS TÉCNICAS'!$F$944+'ESTIMATIVA DE HORAS TÉCNICAS'!L35*'ESTIMATIVA DE HORAS TÉCNICAS'!F$951+'ESTIMATIVA DE HORAS TÉCNICAS'!M35*'ESTIMATIVA DE HORAS TÉCNICAS'!F$950+'ESTIMATIVA DE HORAS TÉCNICAS'!N35*'ESTIMATIVA DE HORAS TÉCNICAS'!F$949+'ESTIMATIVA DE HORAS TÉCNICAS'!O35*'ESTIMATIVA DE HORAS TÉCNICAS'!F$948+'ESTIMATIVA DE HORAS TÉCNICAS'!P35*'ESTIMATIVA DE HORAS TÉCNICAS'!$F$947+'ESTIMATIVA DE HORAS TÉCNICAS'!Q35*'ESTIMATIVA DE HORAS TÉCNICAS'!F$953+'ESTIMATIVA DE HORAS TÉCNICAS'!R35*'ESTIMATIVA DE HORAS TÉCNICAS'!F$954+'ESTIMATIVA DE HORAS TÉCNICAS'!S35*'ESTIMATIVA DE HORAS TÉCNICAS'!F$956+'ESTIMATIVA DE HORAS TÉCNICAS'!T35*'ESTIMATIVA DE HORAS TÉCNICAS'!F$957+'ESTIMATIVA DE HORAS TÉCNICAS'!U35*'ESTIMATIVA DE HORAS TÉCNICAS'!F$958</f>
        <v>4239.1059765399286</v>
      </c>
      <c r="E37" s="771">
        <f>'CALCULO DO FATO K'!$D$10</f>
        <v>2.3175723620309046</v>
      </c>
      <c r="F37" s="771"/>
      <c r="G37" s="771"/>
      <c r="H37" s="771">
        <f>D37*E37</f>
        <v>9824.4348509489664</v>
      </c>
      <c r="I37" s="394"/>
      <c r="J37" s="766"/>
    </row>
    <row r="38" spans="1:10" ht="15.75">
      <c r="A38" s="426" t="s">
        <v>72</v>
      </c>
      <c r="B38" s="768" t="s">
        <v>73</v>
      </c>
      <c r="C38" s="467"/>
      <c r="D38" s="792">
        <f>'ESTIMATIVA DE HORAS TÉCNICAS'!F36*'ESTIMATIVA DE HORAS TÉCNICAS'!F$943+'ESTIMATIVA DE HORAS TÉCNICAS'!G36*'ESTIMATIVA DE HORAS TÉCNICAS'!F$942+'ESTIMATIVA DE HORAS TÉCNICAS'!H36*'ESTIMATIVA DE HORAS TÉCNICAS'!F$941+'ESTIMATIVA DE HORAS TÉCNICAS'!I36*'ESTIMATIVA DE HORAS TÉCNICAS'!F$945+'ESTIMATIVA DE HORAS TÉCNICAS'!J36*'ESTIMATIVA DE HORAS TÉCNICAS'!F$946+'ESTIMATIVA DE HORAS TÉCNICAS'!K36*'ESTIMATIVA DE HORAS TÉCNICAS'!$F$944+'ESTIMATIVA DE HORAS TÉCNICAS'!L36*'ESTIMATIVA DE HORAS TÉCNICAS'!F$951+'ESTIMATIVA DE HORAS TÉCNICAS'!M36*'ESTIMATIVA DE HORAS TÉCNICAS'!F$950+'ESTIMATIVA DE HORAS TÉCNICAS'!N36*'ESTIMATIVA DE HORAS TÉCNICAS'!F$949+'ESTIMATIVA DE HORAS TÉCNICAS'!O36*'ESTIMATIVA DE HORAS TÉCNICAS'!F$948+'ESTIMATIVA DE HORAS TÉCNICAS'!P36*'ESTIMATIVA DE HORAS TÉCNICAS'!$F$947+'ESTIMATIVA DE HORAS TÉCNICAS'!Q36*'ESTIMATIVA DE HORAS TÉCNICAS'!F$953+'ESTIMATIVA DE HORAS TÉCNICAS'!R36*'ESTIMATIVA DE HORAS TÉCNICAS'!F$954+'ESTIMATIVA DE HORAS TÉCNICAS'!S36*'ESTIMATIVA DE HORAS TÉCNICAS'!F$956+'ESTIMATIVA DE HORAS TÉCNICAS'!T36*'ESTIMATIVA DE HORAS TÉCNICAS'!F$957+'ESTIMATIVA DE HORAS TÉCNICAS'!U36*'ESTIMATIVA DE HORAS TÉCNICAS'!F$958</f>
        <v>4643.1841517392822</v>
      </c>
      <c r="E38" s="771">
        <f>'CALCULO DO FATO K'!$D$10</f>
        <v>2.3175723620309046</v>
      </c>
      <c r="F38" s="771"/>
      <c r="G38" s="771"/>
      <c r="H38" s="771">
        <f t="shared" ref="H38:H47" si="1">D38*E38</f>
        <v>10760.91526189087</v>
      </c>
      <c r="I38" s="394"/>
      <c r="J38" s="766"/>
    </row>
    <row r="39" spans="1:10" ht="15.75">
      <c r="A39" s="426" t="s">
        <v>74</v>
      </c>
      <c r="B39" s="768" t="s">
        <v>75</v>
      </c>
      <c r="C39" s="467"/>
      <c r="D39" s="792">
        <f>'ESTIMATIVA DE HORAS TÉCNICAS'!F37*'ESTIMATIVA DE HORAS TÉCNICAS'!F$943+'ESTIMATIVA DE HORAS TÉCNICAS'!G37*'ESTIMATIVA DE HORAS TÉCNICAS'!F$942+'ESTIMATIVA DE HORAS TÉCNICAS'!H37*'ESTIMATIVA DE HORAS TÉCNICAS'!F$941+'ESTIMATIVA DE HORAS TÉCNICAS'!I37*'ESTIMATIVA DE HORAS TÉCNICAS'!F$945+'ESTIMATIVA DE HORAS TÉCNICAS'!J37*'ESTIMATIVA DE HORAS TÉCNICAS'!F$946+'ESTIMATIVA DE HORAS TÉCNICAS'!K37*'ESTIMATIVA DE HORAS TÉCNICAS'!$F$944+'ESTIMATIVA DE HORAS TÉCNICAS'!L37*'ESTIMATIVA DE HORAS TÉCNICAS'!F$951+'ESTIMATIVA DE HORAS TÉCNICAS'!M37*'ESTIMATIVA DE HORAS TÉCNICAS'!F$950+'ESTIMATIVA DE HORAS TÉCNICAS'!N37*'ESTIMATIVA DE HORAS TÉCNICAS'!F$949+'ESTIMATIVA DE HORAS TÉCNICAS'!O37*'ESTIMATIVA DE HORAS TÉCNICAS'!F$948+'ESTIMATIVA DE HORAS TÉCNICAS'!P37*'ESTIMATIVA DE HORAS TÉCNICAS'!$F$947+'ESTIMATIVA DE HORAS TÉCNICAS'!Q37*'ESTIMATIVA DE HORAS TÉCNICAS'!F$953+'ESTIMATIVA DE HORAS TÉCNICAS'!R37*'ESTIMATIVA DE HORAS TÉCNICAS'!F$954+'ESTIMATIVA DE HORAS TÉCNICAS'!S37*'ESTIMATIVA DE HORAS TÉCNICAS'!F$956+'ESTIMATIVA DE HORAS TÉCNICAS'!T37*'ESTIMATIVA DE HORAS TÉCNICAS'!F$957+'ESTIMATIVA DE HORAS TÉCNICAS'!U37*'ESTIMATIVA DE HORAS TÉCNICAS'!F$958</f>
        <v>1463.8546693343351</v>
      </c>
      <c r="E39" s="771">
        <f>'CALCULO DO FATO K'!$D$10</f>
        <v>2.3175723620309046</v>
      </c>
      <c r="F39" s="771"/>
      <c r="G39" s="771"/>
      <c r="H39" s="771">
        <f t="shared" si="1"/>
        <v>3392.5891236791435</v>
      </c>
      <c r="I39" s="394"/>
      <c r="J39" s="766"/>
    </row>
    <row r="40" spans="1:10" s="432" customFormat="1" ht="15.75">
      <c r="A40" s="426" t="s">
        <v>76</v>
      </c>
      <c r="B40" s="428" t="s">
        <v>77</v>
      </c>
      <c r="C40" s="556"/>
      <c r="D40" s="792">
        <f>'ESTIMATIVA DE HORAS TÉCNICAS'!F38*'ESTIMATIVA DE HORAS TÉCNICAS'!F$943+'ESTIMATIVA DE HORAS TÉCNICAS'!G38*'ESTIMATIVA DE HORAS TÉCNICAS'!F$942+'ESTIMATIVA DE HORAS TÉCNICAS'!H38*'ESTIMATIVA DE HORAS TÉCNICAS'!F$941+'ESTIMATIVA DE HORAS TÉCNICAS'!I38*'ESTIMATIVA DE HORAS TÉCNICAS'!F$945+'ESTIMATIVA DE HORAS TÉCNICAS'!J38*'ESTIMATIVA DE HORAS TÉCNICAS'!F$946+'ESTIMATIVA DE HORAS TÉCNICAS'!K38*'ESTIMATIVA DE HORAS TÉCNICAS'!$F$944+'ESTIMATIVA DE HORAS TÉCNICAS'!L38*'ESTIMATIVA DE HORAS TÉCNICAS'!F$951+'ESTIMATIVA DE HORAS TÉCNICAS'!M38*'ESTIMATIVA DE HORAS TÉCNICAS'!F$950+'ESTIMATIVA DE HORAS TÉCNICAS'!N38*'ESTIMATIVA DE HORAS TÉCNICAS'!F$949+'ESTIMATIVA DE HORAS TÉCNICAS'!O38*'ESTIMATIVA DE HORAS TÉCNICAS'!F$948+'ESTIMATIVA DE HORAS TÉCNICAS'!P38*'ESTIMATIVA DE HORAS TÉCNICAS'!$F$947+'ESTIMATIVA DE HORAS TÉCNICAS'!Q38*'ESTIMATIVA DE HORAS TÉCNICAS'!F$953+'ESTIMATIVA DE HORAS TÉCNICAS'!R38*'ESTIMATIVA DE HORAS TÉCNICAS'!F$954+'ESTIMATIVA DE HORAS TÉCNICAS'!S38*'ESTIMATIVA DE HORAS TÉCNICAS'!F$956+'ESTIMATIVA DE HORAS TÉCNICAS'!T38*'ESTIMATIVA DE HORAS TÉCNICAS'!F$957+'ESTIMATIVA DE HORAS TÉCNICAS'!U38*'ESTIMATIVA DE HORAS TÉCNICAS'!F$958</f>
        <v>8253.0981659540048</v>
      </c>
      <c r="E40" s="557">
        <f>'CALCULO DO FATO K'!$D$10</f>
        <v>2.3175723620309046</v>
      </c>
      <c r="F40" s="557"/>
      <c r="G40" s="557"/>
      <c r="H40" s="557">
        <f t="shared" si="1"/>
        <v>19127.15221054295</v>
      </c>
      <c r="I40" s="558"/>
    </row>
    <row r="41" spans="1:10" s="432" customFormat="1" ht="31.5">
      <c r="A41" s="426" t="s">
        <v>78</v>
      </c>
      <c r="B41" s="658" t="s">
        <v>79</v>
      </c>
      <c r="C41" s="556"/>
      <c r="D41" s="792">
        <f>'ESTIMATIVA DE HORAS TÉCNICAS'!F39*'ESTIMATIVA DE HORAS TÉCNICAS'!F$943+'ESTIMATIVA DE HORAS TÉCNICAS'!G39*'ESTIMATIVA DE HORAS TÉCNICAS'!F$942+'ESTIMATIVA DE HORAS TÉCNICAS'!H39*'ESTIMATIVA DE HORAS TÉCNICAS'!F$941+'ESTIMATIVA DE HORAS TÉCNICAS'!I39*'ESTIMATIVA DE HORAS TÉCNICAS'!F$945+'ESTIMATIVA DE HORAS TÉCNICAS'!J39*'ESTIMATIVA DE HORAS TÉCNICAS'!F$946+'ESTIMATIVA DE HORAS TÉCNICAS'!K39*'ESTIMATIVA DE HORAS TÉCNICAS'!$F$944+'ESTIMATIVA DE HORAS TÉCNICAS'!L39*'ESTIMATIVA DE HORAS TÉCNICAS'!F$951+'ESTIMATIVA DE HORAS TÉCNICAS'!M39*'ESTIMATIVA DE HORAS TÉCNICAS'!F$950+'ESTIMATIVA DE HORAS TÉCNICAS'!N39*'ESTIMATIVA DE HORAS TÉCNICAS'!F$949+'ESTIMATIVA DE HORAS TÉCNICAS'!O39*'ESTIMATIVA DE HORAS TÉCNICAS'!F$948+'ESTIMATIVA DE HORAS TÉCNICAS'!P39*'ESTIMATIVA DE HORAS TÉCNICAS'!$F$947+'ESTIMATIVA DE HORAS TÉCNICAS'!Q39*'ESTIMATIVA DE HORAS TÉCNICAS'!F$953+'ESTIMATIVA DE HORAS TÉCNICAS'!R39*'ESTIMATIVA DE HORAS TÉCNICAS'!F$954+'ESTIMATIVA DE HORAS TÉCNICAS'!S39*'ESTIMATIVA DE HORAS TÉCNICAS'!F$956+'ESTIMATIVA DE HORAS TÉCNICAS'!T39*'ESTIMATIVA DE HORAS TÉCNICAS'!F$957+'ESTIMATIVA DE HORAS TÉCNICAS'!U39*'ESTIMATIVA DE HORAS TÉCNICAS'!F$958</f>
        <v>8703.3257402057097</v>
      </c>
      <c r="E41" s="557">
        <f>'CALCULO DO FATO K'!$D$10</f>
        <v>2.3175723620309046</v>
      </c>
      <c r="F41" s="557"/>
      <c r="G41" s="557"/>
      <c r="H41" s="557">
        <f t="shared" si="1"/>
        <v>20170.587193252919</v>
      </c>
      <c r="I41" s="558"/>
    </row>
    <row r="42" spans="1:10" ht="31.5">
      <c r="A42" s="426" t="s">
        <v>80</v>
      </c>
      <c r="B42" s="656" t="s">
        <v>81</v>
      </c>
      <c r="C42" s="467"/>
      <c r="D42" s="792">
        <f>'ESTIMATIVA DE HORAS TÉCNICAS'!F40*'ESTIMATIVA DE HORAS TÉCNICAS'!F$943+'ESTIMATIVA DE HORAS TÉCNICAS'!G40*'ESTIMATIVA DE HORAS TÉCNICAS'!F$942+'ESTIMATIVA DE HORAS TÉCNICAS'!H40*'ESTIMATIVA DE HORAS TÉCNICAS'!F$941+'ESTIMATIVA DE HORAS TÉCNICAS'!I40*'ESTIMATIVA DE HORAS TÉCNICAS'!F$945+'ESTIMATIVA DE HORAS TÉCNICAS'!J40*'ESTIMATIVA DE HORAS TÉCNICAS'!F$946+'ESTIMATIVA DE HORAS TÉCNICAS'!K40*'ESTIMATIVA DE HORAS TÉCNICAS'!$F$944+'ESTIMATIVA DE HORAS TÉCNICAS'!L40*'ESTIMATIVA DE HORAS TÉCNICAS'!F$951+'ESTIMATIVA DE HORAS TÉCNICAS'!M40*'ESTIMATIVA DE HORAS TÉCNICAS'!F$950+'ESTIMATIVA DE HORAS TÉCNICAS'!N40*'ESTIMATIVA DE HORAS TÉCNICAS'!F$949+'ESTIMATIVA DE HORAS TÉCNICAS'!O40*'ESTIMATIVA DE HORAS TÉCNICAS'!F$948+'ESTIMATIVA DE HORAS TÉCNICAS'!P40*'ESTIMATIVA DE HORAS TÉCNICAS'!$F$947+'ESTIMATIVA DE HORAS TÉCNICAS'!Q40*'ESTIMATIVA DE HORAS TÉCNICAS'!F$953+'ESTIMATIVA DE HORAS TÉCNICAS'!R40*'ESTIMATIVA DE HORAS TÉCNICAS'!F$954+'ESTIMATIVA DE HORAS TÉCNICAS'!S40*'ESTIMATIVA DE HORAS TÉCNICAS'!F$956+'ESTIMATIVA DE HORAS TÉCNICAS'!T40*'ESTIMATIVA DE HORAS TÉCNICAS'!F$957+'ESTIMATIVA DE HORAS TÉCNICAS'!U40*'ESTIMATIVA DE HORAS TÉCNICAS'!F$958</f>
        <v>4239.1059765399286</v>
      </c>
      <c r="E42" s="771">
        <f>'CALCULO DO FATO K'!$D$10</f>
        <v>2.3175723620309046</v>
      </c>
      <c r="F42" s="771"/>
      <c r="G42" s="771"/>
      <c r="H42" s="771">
        <f t="shared" si="1"/>
        <v>9824.4348509489664</v>
      </c>
      <c r="I42" s="394"/>
      <c r="J42" s="766"/>
    </row>
    <row r="43" spans="1:10" ht="15.75">
      <c r="A43" s="426" t="s">
        <v>82</v>
      </c>
      <c r="B43" s="768" t="s">
        <v>83</v>
      </c>
      <c r="C43" s="467"/>
      <c r="D43" s="792">
        <f>'ESTIMATIVA DE HORAS TÉCNICAS'!F41*'ESTIMATIVA DE HORAS TÉCNICAS'!F$943+'ESTIMATIVA DE HORAS TÉCNICAS'!G41*'ESTIMATIVA DE HORAS TÉCNICAS'!F$942+'ESTIMATIVA DE HORAS TÉCNICAS'!H41*'ESTIMATIVA DE HORAS TÉCNICAS'!F$941+'ESTIMATIVA DE HORAS TÉCNICAS'!I41*'ESTIMATIVA DE HORAS TÉCNICAS'!F$945+'ESTIMATIVA DE HORAS TÉCNICAS'!J41*'ESTIMATIVA DE HORAS TÉCNICAS'!F$946+'ESTIMATIVA DE HORAS TÉCNICAS'!K41*'ESTIMATIVA DE HORAS TÉCNICAS'!$F$944+'ESTIMATIVA DE HORAS TÉCNICAS'!L41*'ESTIMATIVA DE HORAS TÉCNICAS'!F$951+'ESTIMATIVA DE HORAS TÉCNICAS'!M41*'ESTIMATIVA DE HORAS TÉCNICAS'!F$950+'ESTIMATIVA DE HORAS TÉCNICAS'!N41*'ESTIMATIVA DE HORAS TÉCNICAS'!F$949+'ESTIMATIVA DE HORAS TÉCNICAS'!O41*'ESTIMATIVA DE HORAS TÉCNICAS'!F$948+'ESTIMATIVA DE HORAS TÉCNICAS'!P41*'ESTIMATIVA DE HORAS TÉCNICAS'!$F$947+'ESTIMATIVA DE HORAS TÉCNICAS'!Q41*'ESTIMATIVA DE HORAS TÉCNICAS'!F$953+'ESTIMATIVA DE HORAS TÉCNICAS'!R41*'ESTIMATIVA DE HORAS TÉCNICAS'!F$954+'ESTIMATIVA DE HORAS TÉCNICAS'!S41*'ESTIMATIVA DE HORAS TÉCNICAS'!F$956+'ESTIMATIVA DE HORAS TÉCNICAS'!T41*'ESTIMATIVA DE HORAS TÉCNICAS'!F$957+'ESTIMATIVA DE HORAS TÉCNICAS'!U41*'ESTIMATIVA DE HORAS TÉCNICAS'!F$958</f>
        <v>4239.1059765399286</v>
      </c>
      <c r="E43" s="771">
        <f>'CALCULO DO FATO K'!$D$10</f>
        <v>2.3175723620309046</v>
      </c>
      <c r="F43" s="771"/>
      <c r="G43" s="771"/>
      <c r="H43" s="771">
        <f t="shared" si="1"/>
        <v>9824.4348509489664</v>
      </c>
      <c r="I43" s="394"/>
      <c r="J43" s="766"/>
    </row>
    <row r="44" spans="1:10" ht="15.75">
      <c r="A44" s="426" t="s">
        <v>84</v>
      </c>
      <c r="B44" s="768" t="s">
        <v>85</v>
      </c>
      <c r="C44" s="467"/>
      <c r="D44" s="792">
        <f>'ESTIMATIVA DE HORAS TÉCNICAS'!F42*'ESTIMATIVA DE HORAS TÉCNICAS'!F$943+'ESTIMATIVA DE HORAS TÉCNICAS'!G42*'ESTIMATIVA DE HORAS TÉCNICAS'!F$942+'ESTIMATIVA DE HORAS TÉCNICAS'!H42*'ESTIMATIVA DE HORAS TÉCNICAS'!F$941+'ESTIMATIVA DE HORAS TÉCNICAS'!I42*'ESTIMATIVA DE HORAS TÉCNICAS'!F$945+'ESTIMATIVA DE HORAS TÉCNICAS'!J42*'ESTIMATIVA DE HORAS TÉCNICAS'!F$946+'ESTIMATIVA DE HORAS TÉCNICAS'!K42*'ESTIMATIVA DE HORAS TÉCNICAS'!$F$944+'ESTIMATIVA DE HORAS TÉCNICAS'!L42*'ESTIMATIVA DE HORAS TÉCNICAS'!F$951+'ESTIMATIVA DE HORAS TÉCNICAS'!M42*'ESTIMATIVA DE HORAS TÉCNICAS'!F$950+'ESTIMATIVA DE HORAS TÉCNICAS'!N42*'ESTIMATIVA DE HORAS TÉCNICAS'!F$949+'ESTIMATIVA DE HORAS TÉCNICAS'!O42*'ESTIMATIVA DE HORAS TÉCNICAS'!F$948+'ESTIMATIVA DE HORAS TÉCNICAS'!P42*'ESTIMATIVA DE HORAS TÉCNICAS'!$F$947+'ESTIMATIVA DE HORAS TÉCNICAS'!Q42*'ESTIMATIVA DE HORAS TÉCNICAS'!F$953+'ESTIMATIVA DE HORAS TÉCNICAS'!R42*'ESTIMATIVA DE HORAS TÉCNICAS'!F$954+'ESTIMATIVA DE HORAS TÉCNICAS'!S42*'ESTIMATIVA DE HORAS TÉCNICAS'!F$956+'ESTIMATIVA DE HORAS TÉCNICAS'!T42*'ESTIMATIVA DE HORAS TÉCNICAS'!F$957+'ESTIMATIVA DE HORAS TÉCNICAS'!U42*'ESTIMATIVA DE HORAS TÉCNICAS'!F$958</f>
        <v>4239.1059765399286</v>
      </c>
      <c r="E44" s="771">
        <f>'CALCULO DO FATO K'!$D$10</f>
        <v>2.3175723620309046</v>
      </c>
      <c r="F44" s="771"/>
      <c r="G44" s="771"/>
      <c r="H44" s="771">
        <f t="shared" si="1"/>
        <v>9824.4348509489664</v>
      </c>
      <c r="I44" s="394"/>
      <c r="J44" s="766"/>
    </row>
    <row r="45" spans="1:10" ht="15.75">
      <c r="A45" s="426" t="s">
        <v>86</v>
      </c>
      <c r="B45" s="768" t="s">
        <v>87</v>
      </c>
      <c r="C45" s="467"/>
      <c r="D45" s="792">
        <f>'ESTIMATIVA DE HORAS TÉCNICAS'!F43*'ESTIMATIVA DE HORAS TÉCNICAS'!F$943+'ESTIMATIVA DE HORAS TÉCNICAS'!G43*'ESTIMATIVA DE HORAS TÉCNICAS'!F$942+'ESTIMATIVA DE HORAS TÉCNICAS'!H43*'ESTIMATIVA DE HORAS TÉCNICAS'!F$941+'ESTIMATIVA DE HORAS TÉCNICAS'!I43*'ESTIMATIVA DE HORAS TÉCNICAS'!F$945+'ESTIMATIVA DE HORAS TÉCNICAS'!J43*'ESTIMATIVA DE HORAS TÉCNICAS'!F$946+'ESTIMATIVA DE HORAS TÉCNICAS'!K43*'ESTIMATIVA DE HORAS TÉCNICAS'!$F$944+'ESTIMATIVA DE HORAS TÉCNICAS'!L43*'ESTIMATIVA DE HORAS TÉCNICAS'!F$951+'ESTIMATIVA DE HORAS TÉCNICAS'!M43*'ESTIMATIVA DE HORAS TÉCNICAS'!F$950+'ESTIMATIVA DE HORAS TÉCNICAS'!N43*'ESTIMATIVA DE HORAS TÉCNICAS'!F$949+'ESTIMATIVA DE HORAS TÉCNICAS'!O43*'ESTIMATIVA DE HORAS TÉCNICAS'!F$948+'ESTIMATIVA DE HORAS TÉCNICAS'!P43*'ESTIMATIVA DE HORAS TÉCNICAS'!$F$947+'ESTIMATIVA DE HORAS TÉCNICAS'!Q43*'ESTIMATIVA DE HORAS TÉCNICAS'!F$953+'ESTIMATIVA DE HORAS TÉCNICAS'!R43*'ESTIMATIVA DE HORAS TÉCNICAS'!F$954+'ESTIMATIVA DE HORAS TÉCNICAS'!S43*'ESTIMATIVA DE HORAS TÉCNICAS'!F$956+'ESTIMATIVA DE HORAS TÉCNICAS'!T43*'ESTIMATIVA DE HORAS TÉCNICAS'!F$957+'ESTIMATIVA DE HORAS TÉCNICAS'!U43*'ESTIMATIVA DE HORAS TÉCNICAS'!F$958</f>
        <v>1059.7764941349822</v>
      </c>
      <c r="E45" s="771">
        <f>'CALCULO DO FATO K'!$D$10</f>
        <v>2.3175723620309046</v>
      </c>
      <c r="F45" s="771"/>
      <c r="G45" s="771"/>
      <c r="H45" s="771">
        <f t="shared" si="1"/>
        <v>2456.1087127372416</v>
      </c>
      <c r="I45" s="394"/>
      <c r="J45" s="766"/>
    </row>
    <row r="46" spans="1:10" ht="15.75">
      <c r="A46" s="426" t="s">
        <v>88</v>
      </c>
      <c r="B46" s="768" t="s">
        <v>89</v>
      </c>
      <c r="C46" s="467"/>
      <c r="D46" s="792">
        <f>'ESTIMATIVA DE HORAS TÉCNICAS'!F44*'ESTIMATIVA DE HORAS TÉCNICAS'!F$943+'ESTIMATIVA DE HORAS TÉCNICAS'!G44*'ESTIMATIVA DE HORAS TÉCNICAS'!F$942+'ESTIMATIVA DE HORAS TÉCNICAS'!H44*'ESTIMATIVA DE HORAS TÉCNICAS'!F$941+'ESTIMATIVA DE HORAS TÉCNICAS'!I44*'ESTIMATIVA DE HORAS TÉCNICAS'!F$945+'ESTIMATIVA DE HORAS TÉCNICAS'!J44*'ESTIMATIVA DE HORAS TÉCNICAS'!F$946+'ESTIMATIVA DE HORAS TÉCNICAS'!K44*'ESTIMATIVA DE HORAS TÉCNICAS'!$F$944+'ESTIMATIVA DE HORAS TÉCNICAS'!L44*'ESTIMATIVA DE HORAS TÉCNICAS'!F$951+'ESTIMATIVA DE HORAS TÉCNICAS'!M44*'ESTIMATIVA DE HORAS TÉCNICAS'!F$950+'ESTIMATIVA DE HORAS TÉCNICAS'!N44*'ESTIMATIVA DE HORAS TÉCNICAS'!F$949+'ESTIMATIVA DE HORAS TÉCNICAS'!O44*'ESTIMATIVA DE HORAS TÉCNICAS'!F$948+'ESTIMATIVA DE HORAS TÉCNICAS'!P44*'ESTIMATIVA DE HORAS TÉCNICAS'!$F$947+'ESTIMATIVA DE HORAS TÉCNICAS'!Q44*'ESTIMATIVA DE HORAS TÉCNICAS'!F$953+'ESTIMATIVA DE HORAS TÉCNICAS'!R44*'ESTIMATIVA DE HORAS TÉCNICAS'!F$954+'ESTIMATIVA DE HORAS TÉCNICAS'!S44*'ESTIMATIVA DE HORAS TÉCNICAS'!F$956+'ESTIMATIVA DE HORAS TÉCNICAS'!T44*'ESTIMATIVA DE HORAS TÉCNICAS'!F$957+'ESTIMATIVA DE HORAS TÉCNICAS'!U44*'ESTIMATIVA DE HORAS TÉCNICAS'!F$958</f>
        <v>1059.7764941349822</v>
      </c>
      <c r="E46" s="771">
        <f>'CALCULO DO FATO K'!$D$10</f>
        <v>2.3175723620309046</v>
      </c>
      <c r="F46" s="771"/>
      <c r="G46" s="771"/>
      <c r="H46" s="771">
        <f t="shared" si="1"/>
        <v>2456.1087127372416</v>
      </c>
      <c r="I46" s="394"/>
      <c r="J46" s="766"/>
    </row>
    <row r="47" spans="1:10" s="368" customFormat="1" ht="15.75">
      <c r="A47" s="426" t="s">
        <v>90</v>
      </c>
      <c r="B47" s="428" t="s">
        <v>91</v>
      </c>
      <c r="C47" s="467"/>
      <c r="D47" s="792">
        <f>'ESTIMATIVA DE HORAS TÉCNICAS'!F45*'ESTIMATIVA DE HORAS TÉCNICAS'!F$943+'ESTIMATIVA DE HORAS TÉCNICAS'!G45*'ESTIMATIVA DE HORAS TÉCNICAS'!F$942+'ESTIMATIVA DE HORAS TÉCNICAS'!H45*'ESTIMATIVA DE HORAS TÉCNICAS'!F$941+'ESTIMATIVA DE HORAS TÉCNICAS'!I45*'ESTIMATIVA DE HORAS TÉCNICAS'!F$945+'ESTIMATIVA DE HORAS TÉCNICAS'!J45*'ESTIMATIVA DE HORAS TÉCNICAS'!F$946+'ESTIMATIVA DE HORAS TÉCNICAS'!K45*'ESTIMATIVA DE HORAS TÉCNICAS'!$F$944+'ESTIMATIVA DE HORAS TÉCNICAS'!L45*'ESTIMATIVA DE HORAS TÉCNICAS'!F$951+'ESTIMATIVA DE HORAS TÉCNICAS'!M45*'ESTIMATIVA DE HORAS TÉCNICAS'!F$950+'ESTIMATIVA DE HORAS TÉCNICAS'!N45*'ESTIMATIVA DE HORAS TÉCNICAS'!F$949+'ESTIMATIVA DE HORAS TÉCNICAS'!O45*'ESTIMATIVA DE HORAS TÉCNICAS'!F$948+'ESTIMATIVA DE HORAS TÉCNICAS'!P45*'ESTIMATIVA DE HORAS TÉCNICAS'!$F$947+'ESTIMATIVA DE HORAS TÉCNICAS'!Q45*'ESTIMATIVA DE HORAS TÉCNICAS'!F$953+'ESTIMATIVA DE HORAS TÉCNICAS'!R45*'ESTIMATIVA DE HORAS TÉCNICAS'!F$954+'ESTIMATIVA DE HORAS TÉCNICAS'!S45*'ESTIMATIVA DE HORAS TÉCNICAS'!F$956+'ESTIMATIVA DE HORAS TÉCNICAS'!T45*'ESTIMATIVA DE HORAS TÉCNICAS'!F$957+'ESTIMATIVA DE HORAS TÉCNICAS'!U45*'ESTIMATIVA DE HORAS TÉCNICAS'!F$958</f>
        <v>1059.7764941349822</v>
      </c>
      <c r="E47" s="771">
        <f>'CALCULO DO FATO K'!$D$10</f>
        <v>2.3175723620309046</v>
      </c>
      <c r="F47" s="771"/>
      <c r="G47" s="771"/>
      <c r="H47" s="771">
        <f t="shared" si="1"/>
        <v>2456.1087127372416</v>
      </c>
      <c r="I47" s="394"/>
      <c r="J47" s="766"/>
    </row>
    <row r="48" spans="1:10" s="766" customFormat="1" ht="15.75">
      <c r="A48" s="426" t="s">
        <v>92</v>
      </c>
      <c r="B48" s="768" t="s">
        <v>93</v>
      </c>
      <c r="C48" s="467"/>
      <c r="D48" s="792"/>
      <c r="E48" s="771"/>
      <c r="F48" s="770">
        <f>'OUTROS CUSTOS DIRETOS'!F21</f>
        <v>1107.4000000000001</v>
      </c>
      <c r="G48" s="770">
        <f>'CALCULO DO FATO K'!$D$11</f>
        <v>1.2004415011037526</v>
      </c>
      <c r="H48" s="770">
        <f>F48*G48</f>
        <v>1329.3689183222957</v>
      </c>
      <c r="I48" s="394">
        <f>SUM(H37:H48)</f>
        <v>101446.67824969577</v>
      </c>
    </row>
    <row r="49" spans="1:10" s="368" customFormat="1" ht="15.75">
      <c r="A49" s="426"/>
      <c r="B49" s="768"/>
      <c r="C49" s="467"/>
      <c r="D49" s="792"/>
      <c r="E49" s="771"/>
      <c r="F49" s="771"/>
      <c r="G49" s="771"/>
      <c r="H49" s="771"/>
      <c r="I49" s="394"/>
      <c r="J49" s="766"/>
    </row>
    <row r="50" spans="1:10" ht="15.75">
      <c r="A50" s="391" t="s">
        <v>94</v>
      </c>
      <c r="B50" s="419" t="s">
        <v>95</v>
      </c>
      <c r="C50" s="473"/>
      <c r="D50" s="791"/>
      <c r="E50" s="473"/>
      <c r="F50" s="473"/>
      <c r="G50" s="473"/>
      <c r="H50" s="473"/>
      <c r="I50" s="791"/>
      <c r="J50" s="766"/>
    </row>
    <row r="51" spans="1:10" ht="15.75">
      <c r="A51" s="426"/>
      <c r="B51" s="91"/>
      <c r="C51" s="467"/>
      <c r="D51" s="787"/>
      <c r="E51" s="714"/>
      <c r="F51" s="714"/>
      <c r="G51" s="714"/>
      <c r="H51" s="714"/>
      <c r="I51" s="416"/>
      <c r="J51" s="766"/>
    </row>
    <row r="52" spans="1:10" ht="15.75">
      <c r="A52" s="391" t="s">
        <v>96</v>
      </c>
      <c r="B52" s="427" t="s">
        <v>97</v>
      </c>
      <c r="C52" s="473"/>
      <c r="D52" s="791"/>
      <c r="E52" s="473"/>
      <c r="F52" s="473"/>
      <c r="G52" s="473"/>
      <c r="H52" s="473"/>
      <c r="I52" s="791"/>
      <c r="J52" s="766"/>
    </row>
    <row r="53" spans="1:10" ht="15.75">
      <c r="A53" s="426" t="s">
        <v>98</v>
      </c>
      <c r="B53" s="768" t="s">
        <v>99</v>
      </c>
      <c r="C53" s="467"/>
      <c r="D53" s="787">
        <f>'ESTIMATIVA DE HORAS TÉCNICAS'!F51*'ESTIMATIVA DE HORAS TÉCNICAS'!F$943+'ESTIMATIVA DE HORAS TÉCNICAS'!G51*'ESTIMATIVA DE HORAS TÉCNICAS'!F$942+'ESTIMATIVA DE HORAS TÉCNICAS'!H51*'ESTIMATIVA DE HORAS TÉCNICAS'!F$941+'ESTIMATIVA DE HORAS TÉCNICAS'!I51*'ESTIMATIVA DE HORAS TÉCNICAS'!F$945+'ESTIMATIVA DE HORAS TÉCNICAS'!J51*'ESTIMATIVA DE HORAS TÉCNICAS'!F$946+'ESTIMATIVA DE HORAS TÉCNICAS'!K51*'ESTIMATIVA DE HORAS TÉCNICAS'!$F$944+'ESTIMATIVA DE HORAS TÉCNICAS'!L51*'ESTIMATIVA DE HORAS TÉCNICAS'!F$951+'ESTIMATIVA DE HORAS TÉCNICAS'!M51*'ESTIMATIVA DE HORAS TÉCNICAS'!F$950+'ESTIMATIVA DE HORAS TÉCNICAS'!N51*'ESTIMATIVA DE HORAS TÉCNICAS'!F$949+'ESTIMATIVA DE HORAS TÉCNICAS'!O51*'ESTIMATIVA DE HORAS TÉCNICAS'!F$948+'ESTIMATIVA DE HORAS TÉCNICAS'!P51*'ESTIMATIVA DE HORAS TÉCNICAS'!$F$947+'ESTIMATIVA DE HORAS TÉCNICAS'!Q51*'ESTIMATIVA DE HORAS TÉCNICAS'!F$953+'ESTIMATIVA DE HORAS TÉCNICAS'!R51*'ESTIMATIVA DE HORAS TÉCNICAS'!F$954</f>
        <v>8105.1272040043914</v>
      </c>
      <c r="E53" s="411">
        <f>'CALCULO DO FATO K'!D$10</f>
        <v>2.3175723620309046</v>
      </c>
      <c r="F53" s="714"/>
      <c r="G53" s="714"/>
      <c r="H53" s="411">
        <f>D53*E53</f>
        <v>18784.218798745398</v>
      </c>
      <c r="I53" s="416"/>
      <c r="J53" s="766"/>
    </row>
    <row r="54" spans="1:10" ht="15.75">
      <c r="A54" s="426" t="s">
        <v>100</v>
      </c>
      <c r="B54" s="428" t="s">
        <v>101</v>
      </c>
      <c r="C54" s="467"/>
      <c r="D54" s="787">
        <f>'ESTIMATIVA DE HORAS TÉCNICAS'!F52*'ESTIMATIVA DE HORAS TÉCNICAS'!F$943+'ESTIMATIVA DE HORAS TÉCNICAS'!G52*'ESTIMATIVA DE HORAS TÉCNICAS'!F$942+'ESTIMATIVA DE HORAS TÉCNICAS'!H52*'ESTIMATIVA DE HORAS TÉCNICAS'!F$941+'ESTIMATIVA DE HORAS TÉCNICAS'!I52*'ESTIMATIVA DE HORAS TÉCNICAS'!F$945+'ESTIMATIVA DE HORAS TÉCNICAS'!J52*'ESTIMATIVA DE HORAS TÉCNICAS'!F$946+'ESTIMATIVA DE HORAS TÉCNICAS'!K52*'ESTIMATIVA DE HORAS TÉCNICAS'!$F$944+'ESTIMATIVA DE HORAS TÉCNICAS'!L52*'ESTIMATIVA DE HORAS TÉCNICAS'!F$951+'ESTIMATIVA DE HORAS TÉCNICAS'!M52*'ESTIMATIVA DE HORAS TÉCNICAS'!F$950+'ESTIMATIVA DE HORAS TÉCNICAS'!N52*'ESTIMATIVA DE HORAS TÉCNICAS'!F$949+'ESTIMATIVA DE HORAS TÉCNICAS'!O52*'ESTIMATIVA DE HORAS TÉCNICAS'!F$948+'ESTIMATIVA DE HORAS TÉCNICAS'!P52*'ESTIMATIVA DE HORAS TÉCNICAS'!$F$947+'ESTIMATIVA DE HORAS TÉCNICAS'!Q52*'ESTIMATIVA DE HORAS TÉCNICAS'!F$953+'ESTIMATIVA DE HORAS TÉCNICAS'!R52*'ESTIMATIVA DE HORAS TÉCNICAS'!F$954</f>
        <v>7837.0995575234028</v>
      </c>
      <c r="E54" s="411">
        <f>'CALCULO DO FATO K'!D$10</f>
        <v>2.3175723620309046</v>
      </c>
      <c r="F54" s="714"/>
      <c r="G54" s="714"/>
      <c r="H54" s="411">
        <f>D54*E54</f>
        <v>18163.045333000871</v>
      </c>
      <c r="I54" s="416"/>
      <c r="J54" s="766"/>
    </row>
    <row r="55" spans="1:10" s="403" customFormat="1" ht="15.75">
      <c r="A55" s="426" t="s">
        <v>102</v>
      </c>
      <c r="B55" s="428" t="s">
        <v>103</v>
      </c>
      <c r="C55" s="467"/>
      <c r="D55" s="787">
        <f>'ESTIMATIVA DE HORAS TÉCNICAS'!F53*'ESTIMATIVA DE HORAS TÉCNICAS'!F$943+'ESTIMATIVA DE HORAS TÉCNICAS'!G53*'ESTIMATIVA DE HORAS TÉCNICAS'!F$942+'ESTIMATIVA DE HORAS TÉCNICAS'!H53*'ESTIMATIVA DE HORAS TÉCNICAS'!F$941+'ESTIMATIVA DE HORAS TÉCNICAS'!I53*'ESTIMATIVA DE HORAS TÉCNICAS'!F$945+'ESTIMATIVA DE HORAS TÉCNICAS'!J53*'ESTIMATIVA DE HORAS TÉCNICAS'!F$946+'ESTIMATIVA DE HORAS TÉCNICAS'!K53*'ESTIMATIVA DE HORAS TÉCNICAS'!$F$944+'ESTIMATIVA DE HORAS TÉCNICAS'!L53*'ESTIMATIVA DE HORAS TÉCNICAS'!F$951+'ESTIMATIVA DE HORAS TÉCNICAS'!M53*'ESTIMATIVA DE HORAS TÉCNICAS'!F$950+'ESTIMATIVA DE HORAS TÉCNICAS'!N53*'ESTIMATIVA DE HORAS TÉCNICAS'!F$949+'ESTIMATIVA DE HORAS TÉCNICAS'!O53*'ESTIMATIVA DE HORAS TÉCNICAS'!F$948+'ESTIMATIVA DE HORAS TÉCNICAS'!P53*'ESTIMATIVA DE HORAS TÉCNICAS'!$F$947+'ESTIMATIVA DE HORAS TÉCNICAS'!Q53*'ESTIMATIVA DE HORAS TÉCNICAS'!F$953+'ESTIMATIVA DE HORAS TÉCNICAS'!R53*'ESTIMATIVA DE HORAS TÉCNICAS'!F$954</f>
        <v>7840.3187026175892</v>
      </c>
      <c r="E55" s="411">
        <f>'CALCULO DO FATO K'!D$10</f>
        <v>2.3175723620309046</v>
      </c>
      <c r="F55" s="714"/>
      <c r="G55" s="714"/>
      <c r="H55" s="411">
        <f>D55*E55</f>
        <v>18170.505934700523</v>
      </c>
      <c r="I55" s="416"/>
      <c r="J55" s="766"/>
    </row>
    <row r="56" spans="1:10" ht="15.75">
      <c r="A56" s="426" t="s">
        <v>104</v>
      </c>
      <c r="B56" s="768" t="s">
        <v>105</v>
      </c>
      <c r="C56" s="467"/>
      <c r="D56" s="787">
        <f>'ESTIMATIVA DE HORAS TÉCNICAS'!F54*'ESTIMATIVA DE HORAS TÉCNICAS'!F$943+'ESTIMATIVA DE HORAS TÉCNICAS'!G54*'ESTIMATIVA DE HORAS TÉCNICAS'!F$942+'ESTIMATIVA DE HORAS TÉCNICAS'!H54*'ESTIMATIVA DE HORAS TÉCNICAS'!F$941+'ESTIMATIVA DE HORAS TÉCNICAS'!I54*'ESTIMATIVA DE HORAS TÉCNICAS'!F$945+'ESTIMATIVA DE HORAS TÉCNICAS'!J54*'ESTIMATIVA DE HORAS TÉCNICAS'!F$946+'ESTIMATIVA DE HORAS TÉCNICAS'!K54*'ESTIMATIVA DE HORAS TÉCNICAS'!$F$944+'ESTIMATIVA DE HORAS TÉCNICAS'!L54*'ESTIMATIVA DE HORAS TÉCNICAS'!F$951+'ESTIMATIVA DE HORAS TÉCNICAS'!M54*'ESTIMATIVA DE HORAS TÉCNICAS'!F$950+'ESTIMATIVA DE HORAS TÉCNICAS'!N54*'ESTIMATIVA DE HORAS TÉCNICAS'!F$949+'ESTIMATIVA DE HORAS TÉCNICAS'!O54*'ESTIMATIVA DE HORAS TÉCNICAS'!F$948+'ESTIMATIVA DE HORAS TÉCNICAS'!P54*'ESTIMATIVA DE HORAS TÉCNICAS'!$F$947+'ESTIMATIVA DE HORAS TÉCNICAS'!Q54*'ESTIMATIVA DE HORAS TÉCNICAS'!F$953+'ESTIMATIVA DE HORAS TÉCNICAS'!R54*'ESTIMATIVA DE HORAS TÉCNICAS'!F$954</f>
        <v>8108.3463490985778</v>
      </c>
      <c r="E56" s="411">
        <f>'CALCULO DO FATO K'!D$10</f>
        <v>2.3175723620309046</v>
      </c>
      <c r="F56" s="714"/>
      <c r="G56" s="714"/>
      <c r="H56" s="411">
        <f>D56*E56</f>
        <v>18791.679400445053</v>
      </c>
      <c r="I56" s="416">
        <f>SUM(H53:H56)</f>
        <v>73909.449466891849</v>
      </c>
      <c r="J56" s="767"/>
    </row>
    <row r="57" spans="1:10" s="532" customFormat="1" ht="15.75">
      <c r="A57" s="426"/>
      <c r="B57" s="768"/>
      <c r="C57" s="467"/>
      <c r="D57" s="787"/>
      <c r="E57" s="411"/>
      <c r="F57" s="714"/>
      <c r="G57" s="714"/>
      <c r="H57" s="411"/>
      <c r="I57" s="416"/>
      <c r="J57" s="767"/>
    </row>
    <row r="58" spans="1:10" ht="15.75">
      <c r="A58" s="426"/>
      <c r="B58" s="768"/>
      <c r="C58" s="467"/>
      <c r="D58" s="787"/>
      <c r="E58" s="714"/>
      <c r="F58" s="714"/>
      <c r="G58" s="714"/>
      <c r="H58" s="714"/>
      <c r="I58" s="416"/>
      <c r="J58" s="767"/>
    </row>
    <row r="59" spans="1:10" ht="15.75">
      <c r="A59" s="363" t="s">
        <v>106</v>
      </c>
      <c r="B59" s="376" t="s">
        <v>107</v>
      </c>
      <c r="C59" s="473"/>
      <c r="D59" s="791"/>
      <c r="E59" s="473"/>
      <c r="F59" s="473"/>
      <c r="G59" s="473"/>
      <c r="H59" s="473"/>
      <c r="I59" s="791"/>
      <c r="J59" s="767"/>
    </row>
    <row r="60" spans="1:10" ht="15.75">
      <c r="A60" s="426" t="s">
        <v>108</v>
      </c>
      <c r="B60" s="768" t="s">
        <v>99</v>
      </c>
      <c r="C60" s="467"/>
      <c r="D60" s="787">
        <f>'ESTIMATIVA DE HORAS TÉCNICAS'!F58*'ESTIMATIVA DE HORAS TÉCNICAS'!F$943+'ESTIMATIVA DE HORAS TÉCNICAS'!G58*'ESTIMATIVA DE HORAS TÉCNICAS'!F$942+'ESTIMATIVA DE HORAS TÉCNICAS'!H58*'ESTIMATIVA DE HORAS TÉCNICAS'!F$941+'ESTIMATIVA DE HORAS TÉCNICAS'!I58*'ESTIMATIVA DE HORAS TÉCNICAS'!F$945+'ESTIMATIVA DE HORAS TÉCNICAS'!J58*'ESTIMATIVA DE HORAS TÉCNICAS'!F$946+'ESTIMATIVA DE HORAS TÉCNICAS'!K58*'ESTIMATIVA DE HORAS TÉCNICAS'!$F$944+'ESTIMATIVA DE HORAS TÉCNICAS'!L58*'ESTIMATIVA DE HORAS TÉCNICAS'!F$951+'ESTIMATIVA DE HORAS TÉCNICAS'!M58*'ESTIMATIVA DE HORAS TÉCNICAS'!F$950+'ESTIMATIVA DE HORAS TÉCNICAS'!N58*'ESTIMATIVA DE HORAS TÉCNICAS'!F$949+'ESTIMATIVA DE HORAS TÉCNICAS'!O58*'ESTIMATIVA DE HORAS TÉCNICAS'!F$948+'ESTIMATIVA DE HORAS TÉCNICAS'!P58*'ESTIMATIVA DE HORAS TÉCNICAS'!$F$947+'ESTIMATIVA DE HORAS TÉCNICAS'!Q58*'ESTIMATIVA DE HORAS TÉCNICAS'!F$953+'ESTIMATIVA DE HORAS TÉCNICAS'!R58*'ESTIMATIVA DE HORAS TÉCNICAS'!F$954</f>
        <v>1370.0060426441698</v>
      </c>
      <c r="E60" s="411">
        <f>'CALCULO DO FATO K'!D$10</f>
        <v>2.3175723620309046</v>
      </c>
      <c r="F60" s="714"/>
      <c r="G60" s="714"/>
      <c r="H60" s="411">
        <f>D60*E60</f>
        <v>3175.0881402474611</v>
      </c>
      <c r="I60" s="416"/>
      <c r="J60" s="767"/>
    </row>
    <row r="61" spans="1:10" ht="15.75">
      <c r="A61" s="426" t="s">
        <v>109</v>
      </c>
      <c r="B61" s="428" t="s">
        <v>110</v>
      </c>
      <c r="C61" s="467"/>
      <c r="D61" s="787">
        <f>'ESTIMATIVA DE HORAS TÉCNICAS'!F59*'ESTIMATIVA DE HORAS TÉCNICAS'!F$943+'ESTIMATIVA DE HORAS TÉCNICAS'!G59*'ESTIMATIVA DE HORAS TÉCNICAS'!F$942+'ESTIMATIVA DE HORAS TÉCNICAS'!H59*'ESTIMATIVA DE HORAS TÉCNICAS'!F$941+'ESTIMATIVA DE HORAS TÉCNICAS'!I59*'ESTIMATIVA DE HORAS TÉCNICAS'!F$945+'ESTIMATIVA DE HORAS TÉCNICAS'!J59*'ESTIMATIVA DE HORAS TÉCNICAS'!F$946+'ESTIMATIVA DE HORAS TÉCNICAS'!K59*'ESTIMATIVA DE HORAS TÉCNICAS'!$F$944+'ESTIMATIVA DE HORAS TÉCNICAS'!L59*'ESTIMATIVA DE HORAS TÉCNICAS'!F$951+'ESTIMATIVA DE HORAS TÉCNICAS'!M59*'ESTIMATIVA DE HORAS TÉCNICAS'!F$950+'ESTIMATIVA DE HORAS TÉCNICAS'!N59*'ESTIMATIVA DE HORAS TÉCNICAS'!F$949+'ESTIMATIVA DE HORAS TÉCNICAS'!O59*'ESTIMATIVA DE HORAS TÉCNICAS'!F$948+'ESTIMATIVA DE HORAS TÉCNICAS'!P59*'ESTIMATIVA DE HORAS TÉCNICAS'!$F$947+'ESTIMATIVA DE HORAS TÉCNICAS'!Q59*'ESTIMATIVA DE HORAS TÉCNICAS'!F$953+'ESTIMATIVA DE HORAS TÉCNICAS'!R59*'ESTIMATIVA DE HORAS TÉCNICAS'!F$954</f>
        <v>958.78124777533822</v>
      </c>
      <c r="E61" s="411">
        <f>'CALCULO DO FATO K'!D$10</f>
        <v>2.3175723620309046</v>
      </c>
      <c r="F61" s="714"/>
      <c r="G61" s="714"/>
      <c r="H61" s="411">
        <f>D61*E61</f>
        <v>2222.0449210776287</v>
      </c>
      <c r="I61" s="416"/>
      <c r="J61" s="767"/>
    </row>
    <row r="62" spans="1:10" ht="15.75">
      <c r="A62" s="426" t="s">
        <v>111</v>
      </c>
      <c r="B62" s="768" t="s">
        <v>112</v>
      </c>
      <c r="C62" s="467"/>
      <c r="D62" s="787">
        <f>'ESTIMATIVA DE HORAS TÉCNICAS'!F60*'ESTIMATIVA DE HORAS TÉCNICAS'!F$943+'ESTIMATIVA DE HORAS TÉCNICAS'!G60*'ESTIMATIVA DE HORAS TÉCNICAS'!F$942+'ESTIMATIVA DE HORAS TÉCNICAS'!H60*'ESTIMATIVA DE HORAS TÉCNICAS'!F$941+'ESTIMATIVA DE HORAS TÉCNICAS'!I60*'ESTIMATIVA DE HORAS TÉCNICAS'!F$945+'ESTIMATIVA DE HORAS TÉCNICAS'!J60*'ESTIMATIVA DE HORAS TÉCNICAS'!F$946+'ESTIMATIVA DE HORAS TÉCNICAS'!K60*'ESTIMATIVA DE HORAS TÉCNICAS'!$F$944+'ESTIMATIVA DE HORAS TÉCNICAS'!L60*'ESTIMATIVA DE HORAS TÉCNICAS'!F$951+'ESTIMATIVA DE HORAS TÉCNICAS'!M60*'ESTIMATIVA DE HORAS TÉCNICAS'!F$950+'ESTIMATIVA DE HORAS TÉCNICAS'!N60*'ESTIMATIVA DE HORAS TÉCNICAS'!F$949+'ESTIMATIVA DE HORAS TÉCNICAS'!O60*'ESTIMATIVA DE HORAS TÉCNICAS'!F$948+'ESTIMATIVA DE HORAS TÉCNICAS'!P60*'ESTIMATIVA DE HORAS TÉCNICAS'!$F$947+'ESTIMATIVA DE HORAS TÉCNICAS'!Q60*'ESTIMATIVA DE HORAS TÉCNICAS'!F$953+'ESTIMATIVA DE HORAS TÉCNICAS'!R60*'ESTIMATIVA DE HORAS TÉCNICAS'!F$954</f>
        <v>1100.6205925112679</v>
      </c>
      <c r="E62" s="411">
        <f>'CALCULO DO FATO K'!D$10</f>
        <v>2.3175723620309046</v>
      </c>
      <c r="F62" s="714"/>
      <c r="G62" s="714"/>
      <c r="H62" s="411">
        <f>D62*E62</f>
        <v>2550.7678662861927</v>
      </c>
      <c r="I62" s="416"/>
      <c r="J62" s="767"/>
    </row>
    <row r="63" spans="1:10" ht="15.75">
      <c r="A63" s="426" t="s">
        <v>113</v>
      </c>
      <c r="B63" s="428" t="s">
        <v>114</v>
      </c>
      <c r="C63" s="467"/>
      <c r="D63" s="787">
        <f>'ESTIMATIVA DE HORAS TÉCNICAS'!F61*'ESTIMATIVA DE HORAS TÉCNICAS'!F$943+'ESTIMATIVA DE HORAS TÉCNICAS'!G61*'ESTIMATIVA DE HORAS TÉCNICAS'!F$942+'ESTIMATIVA DE HORAS TÉCNICAS'!H61*'ESTIMATIVA DE HORAS TÉCNICAS'!F$941+'ESTIMATIVA DE HORAS TÉCNICAS'!I61*'ESTIMATIVA DE HORAS TÉCNICAS'!F$945+'ESTIMATIVA DE HORAS TÉCNICAS'!J61*'ESTIMATIVA DE HORAS TÉCNICAS'!F$946+'ESTIMATIVA DE HORAS TÉCNICAS'!K61*'ESTIMATIVA DE HORAS TÉCNICAS'!$F$944+'ESTIMATIVA DE HORAS TÉCNICAS'!L61*'ESTIMATIVA DE HORAS TÉCNICAS'!F$951+'ESTIMATIVA DE HORAS TÉCNICAS'!M61*'ESTIMATIVA DE HORAS TÉCNICAS'!F$950+'ESTIMATIVA DE HORAS TÉCNICAS'!N61*'ESTIMATIVA DE HORAS TÉCNICAS'!F$949+'ESTIMATIVA DE HORAS TÉCNICAS'!O61*'ESTIMATIVA DE HORAS TÉCNICAS'!F$948+'ESTIMATIVA DE HORAS TÉCNICAS'!P61*'ESTIMATIVA DE HORAS TÉCNICAS'!$F$947+'ESTIMATIVA DE HORAS TÉCNICAS'!Q61*'ESTIMATIVA DE HORAS TÉCNICAS'!F$953+'ESTIMATIVA DE HORAS TÉCNICAS'!R61*'ESTIMATIVA DE HORAS TÉCNICAS'!F$954</f>
        <v>1084.9695495203975</v>
      </c>
      <c r="E63" s="411">
        <f>'CALCULO DO FATO K'!D$10</f>
        <v>2.3175723620309046</v>
      </c>
      <c r="F63" s="714"/>
      <c r="G63" s="714"/>
      <c r="H63" s="411">
        <f>D63*E63</f>
        <v>2514.4954416135943</v>
      </c>
      <c r="I63" s="416"/>
      <c r="J63" s="767"/>
    </row>
    <row r="64" spans="1:10" ht="15.75">
      <c r="A64" s="426" t="s">
        <v>115</v>
      </c>
      <c r="B64" s="428" t="s">
        <v>116</v>
      </c>
      <c r="C64" s="467"/>
      <c r="D64" s="787">
        <f>'ESTIMATIVA DE HORAS TÉCNICAS'!F62*'ESTIMATIVA DE HORAS TÉCNICAS'!F$943+'ESTIMATIVA DE HORAS TÉCNICAS'!G62*'ESTIMATIVA DE HORAS TÉCNICAS'!F$942+'ESTIMATIVA DE HORAS TÉCNICAS'!H62*'ESTIMATIVA DE HORAS TÉCNICAS'!F$941+'ESTIMATIVA DE HORAS TÉCNICAS'!I62*'ESTIMATIVA DE HORAS TÉCNICAS'!F$945+'ESTIMATIVA DE HORAS TÉCNICAS'!J62*'ESTIMATIVA DE HORAS TÉCNICAS'!F$946+'ESTIMATIVA DE HORAS TÉCNICAS'!K62*'ESTIMATIVA DE HORAS TÉCNICAS'!$F$944+'ESTIMATIVA DE HORAS TÉCNICAS'!L62*'ESTIMATIVA DE HORAS TÉCNICAS'!F$951+'ESTIMATIVA DE HORAS TÉCNICAS'!M62*'ESTIMATIVA DE HORAS TÉCNICAS'!F$950+'ESTIMATIVA DE HORAS TÉCNICAS'!N62*'ESTIMATIVA DE HORAS TÉCNICAS'!F$949+'ESTIMATIVA DE HORAS TÉCNICAS'!O62*'ESTIMATIVA DE HORAS TÉCNICAS'!F$948+'ESTIMATIVA DE HORAS TÉCNICAS'!P62*'ESTIMATIVA DE HORAS TÉCNICAS'!$F$947+'ESTIMATIVA DE HORAS TÉCNICAS'!Q62*'ESTIMATIVA DE HORAS TÉCNICAS'!F$953+'ESTIMATIVA DE HORAS TÉCNICAS'!R62*'ESTIMATIVA DE HORAS TÉCNICAS'!F$954</f>
        <v>1084.9695495203975</v>
      </c>
      <c r="E64" s="411">
        <f>'CALCULO DO FATO K'!D$10</f>
        <v>2.3175723620309046</v>
      </c>
      <c r="F64" s="714"/>
      <c r="G64" s="714"/>
      <c r="H64" s="411">
        <f>D64*E64</f>
        <v>2514.4954416135943</v>
      </c>
      <c r="I64" s="416">
        <f>SUM(H60:H64)</f>
        <v>12976.891810838471</v>
      </c>
      <c r="J64" s="767"/>
    </row>
    <row r="65" spans="1:10" s="532" customFormat="1" ht="15.75">
      <c r="A65" s="426"/>
      <c r="B65" s="428"/>
      <c r="C65" s="467"/>
      <c r="D65" s="787"/>
      <c r="E65" s="411"/>
      <c r="F65" s="714"/>
      <c r="G65" s="714"/>
      <c r="H65" s="411"/>
      <c r="I65" s="416"/>
      <c r="J65" s="767"/>
    </row>
    <row r="66" spans="1:10" ht="15.75">
      <c r="A66" s="426"/>
      <c r="B66" s="768"/>
      <c r="C66" s="467"/>
      <c r="D66" s="787"/>
      <c r="E66" s="714"/>
      <c r="F66" s="714"/>
      <c r="G66" s="714"/>
      <c r="H66" s="714"/>
      <c r="I66" s="416"/>
      <c r="J66" s="767"/>
    </row>
    <row r="67" spans="1:10" ht="15.75">
      <c r="A67" s="391" t="s">
        <v>117</v>
      </c>
      <c r="B67" s="427" t="s">
        <v>118</v>
      </c>
      <c r="C67" s="473"/>
      <c r="D67" s="791"/>
      <c r="E67" s="473"/>
      <c r="F67" s="473"/>
      <c r="G67" s="473"/>
      <c r="H67" s="473"/>
      <c r="I67" s="791"/>
      <c r="J67" s="767"/>
    </row>
    <row r="68" spans="1:10" ht="15.75">
      <c r="A68" s="426" t="s">
        <v>119</v>
      </c>
      <c r="B68" s="428" t="s">
        <v>99</v>
      </c>
      <c r="C68" s="467"/>
      <c r="D68" s="787">
        <f>'ESTIMATIVA DE HORAS TÉCNICAS'!F66*'ESTIMATIVA DE HORAS TÉCNICAS'!F$943+'ESTIMATIVA DE HORAS TÉCNICAS'!G66*'ESTIMATIVA DE HORAS TÉCNICAS'!F$942+'ESTIMATIVA DE HORAS TÉCNICAS'!H66*'ESTIMATIVA DE HORAS TÉCNICAS'!F$941+'ESTIMATIVA DE HORAS TÉCNICAS'!I66*'ESTIMATIVA DE HORAS TÉCNICAS'!F$945+'ESTIMATIVA DE HORAS TÉCNICAS'!J66*'ESTIMATIVA DE HORAS TÉCNICAS'!F$946+'ESTIMATIVA DE HORAS TÉCNICAS'!K66*'ESTIMATIVA DE HORAS TÉCNICAS'!$F$944+'ESTIMATIVA DE HORAS TÉCNICAS'!L66*'ESTIMATIVA DE HORAS TÉCNICAS'!F$951+'ESTIMATIVA DE HORAS TÉCNICAS'!M66*'ESTIMATIVA DE HORAS TÉCNICAS'!F$950+'ESTIMATIVA DE HORAS TÉCNICAS'!N66*'ESTIMATIVA DE HORAS TÉCNICAS'!F$949+'ESTIMATIVA DE HORAS TÉCNICAS'!O66*'ESTIMATIVA DE HORAS TÉCNICAS'!F$948+'ESTIMATIVA DE HORAS TÉCNICAS'!P66*'ESTIMATIVA DE HORAS TÉCNICAS'!$F$947+'ESTIMATIVA DE HORAS TÉCNICAS'!Q66*'ESTIMATIVA DE HORAS TÉCNICAS'!F$953+'ESTIMATIVA DE HORAS TÉCNICAS'!R66*'ESTIMATIVA DE HORAS TÉCNICAS'!F$954</f>
        <v>2627.1386831156829</v>
      </c>
      <c r="E68" s="411">
        <f>'CALCULO DO FATO K'!D$10</f>
        <v>2.3175723620309046</v>
      </c>
      <c r="F68" s="714"/>
      <c r="G68" s="714"/>
      <c r="H68" s="411">
        <f>D68*E68</f>
        <v>6088.5840032111728</v>
      </c>
      <c r="I68" s="416"/>
      <c r="J68" s="767"/>
    </row>
    <row r="69" spans="1:10" ht="15.75">
      <c r="A69" s="426" t="s">
        <v>120</v>
      </c>
      <c r="B69" s="768" t="s">
        <v>105</v>
      </c>
      <c r="C69" s="467"/>
      <c r="D69" s="787">
        <f>'ESTIMATIVA DE HORAS TÉCNICAS'!F67*'ESTIMATIVA DE HORAS TÉCNICAS'!F$943+'ESTIMATIVA DE HORAS TÉCNICAS'!G67*'ESTIMATIVA DE HORAS TÉCNICAS'!F$942+'ESTIMATIVA DE HORAS TÉCNICAS'!H67*'ESTIMATIVA DE HORAS TÉCNICAS'!F$941+'ESTIMATIVA DE HORAS TÉCNICAS'!I67*'ESTIMATIVA DE HORAS TÉCNICAS'!F$945+'ESTIMATIVA DE HORAS TÉCNICAS'!J67*'ESTIMATIVA DE HORAS TÉCNICAS'!F$946+'ESTIMATIVA DE HORAS TÉCNICAS'!K67*'ESTIMATIVA DE HORAS TÉCNICAS'!$F$944+'ESTIMATIVA DE HORAS TÉCNICAS'!L67*'ESTIMATIVA DE HORAS TÉCNICAS'!F$951+'ESTIMATIVA DE HORAS TÉCNICAS'!M67*'ESTIMATIVA DE HORAS TÉCNICAS'!F$950+'ESTIMATIVA DE HORAS TÉCNICAS'!N67*'ESTIMATIVA DE HORAS TÉCNICAS'!F$949+'ESTIMATIVA DE HORAS TÉCNICAS'!O67*'ESTIMATIVA DE HORAS TÉCNICAS'!F$948+'ESTIMATIVA DE HORAS TÉCNICAS'!P67*'ESTIMATIVA DE HORAS TÉCNICAS'!$F$947+'ESTIMATIVA DE HORAS TÉCNICAS'!Q67*'ESTIMATIVA DE HORAS TÉCNICAS'!F$953+'ESTIMATIVA DE HORAS TÉCNICAS'!R67*'ESTIMATIVA DE HORAS TÉCNICAS'!F$954</f>
        <v>2627.1386831156829</v>
      </c>
      <c r="E69" s="411">
        <f>'CALCULO DO FATO K'!D$10</f>
        <v>2.3175723620309046</v>
      </c>
      <c r="F69" s="714"/>
      <c r="G69" s="714"/>
      <c r="H69" s="411">
        <f>D69*E69</f>
        <v>6088.5840032111728</v>
      </c>
      <c r="I69" s="416">
        <f>SUM(H68:H69)</f>
        <v>12177.168006422346</v>
      </c>
      <c r="J69" s="767"/>
    </row>
    <row r="70" spans="1:10" s="532" customFormat="1" ht="15.75">
      <c r="A70" s="426"/>
      <c r="B70" s="768"/>
      <c r="C70" s="467"/>
      <c r="D70" s="787"/>
      <c r="E70" s="411"/>
      <c r="F70" s="714"/>
      <c r="G70" s="714"/>
      <c r="H70" s="411"/>
      <c r="I70" s="416"/>
      <c r="J70" s="767"/>
    </row>
    <row r="71" spans="1:10" ht="15.75">
      <c r="A71" s="323"/>
      <c r="B71" s="366"/>
      <c r="C71" s="467"/>
      <c r="D71" s="787"/>
      <c r="E71" s="714"/>
      <c r="F71" s="714"/>
      <c r="G71" s="714"/>
      <c r="H71" s="714"/>
      <c r="I71" s="416"/>
      <c r="J71" s="767"/>
    </row>
    <row r="72" spans="1:10" ht="15.75">
      <c r="A72" s="391" t="s">
        <v>121</v>
      </c>
      <c r="B72" s="427" t="s">
        <v>122</v>
      </c>
      <c r="C72" s="473"/>
      <c r="D72" s="791"/>
      <c r="E72" s="473"/>
      <c r="F72" s="473"/>
      <c r="G72" s="473"/>
      <c r="H72" s="473"/>
      <c r="I72" s="791"/>
      <c r="J72" s="767"/>
    </row>
    <row r="73" spans="1:10" ht="15.75">
      <c r="A73" s="426" t="s">
        <v>123</v>
      </c>
      <c r="B73" s="428" t="s">
        <v>99</v>
      </c>
      <c r="C73" s="470"/>
      <c r="D73" s="787">
        <f>'ESTIMATIVA DE HORAS TÉCNICAS'!F71*'ESTIMATIVA DE HORAS TÉCNICAS'!F$943+'ESTIMATIVA DE HORAS TÉCNICAS'!G71*'ESTIMATIVA DE HORAS TÉCNICAS'!F$942+'ESTIMATIVA DE HORAS TÉCNICAS'!H71*'ESTIMATIVA DE HORAS TÉCNICAS'!F$941+'ESTIMATIVA DE HORAS TÉCNICAS'!I71*'ESTIMATIVA DE HORAS TÉCNICAS'!F$945+'ESTIMATIVA DE HORAS TÉCNICAS'!J71*'ESTIMATIVA DE HORAS TÉCNICAS'!F$946+'ESTIMATIVA DE HORAS TÉCNICAS'!K71*'ESTIMATIVA DE HORAS TÉCNICAS'!$F$944+'ESTIMATIVA DE HORAS TÉCNICAS'!L71*'ESTIMATIVA DE HORAS TÉCNICAS'!F$951+'ESTIMATIVA DE HORAS TÉCNICAS'!M71*'ESTIMATIVA DE HORAS TÉCNICAS'!F$950+'ESTIMATIVA DE HORAS TÉCNICAS'!N71*'ESTIMATIVA DE HORAS TÉCNICAS'!F$949+'ESTIMATIVA DE HORAS TÉCNICAS'!O71*'ESTIMATIVA DE HORAS TÉCNICAS'!F$948+'ESTIMATIVA DE HORAS TÉCNICAS'!P71*'ESTIMATIVA DE HORAS TÉCNICAS'!$F$947+'ESTIMATIVA DE HORAS TÉCNICAS'!Q71*'ESTIMATIVA DE HORAS TÉCNICAS'!F$953+'ESTIMATIVA DE HORAS TÉCNICAS'!R71*'ESTIMATIVA DE HORAS TÉCNICAS'!F$954</f>
        <v>662.56810643707377</v>
      </c>
      <c r="E73" s="411">
        <f>'CALCULO DO FATO K'!D$10</f>
        <v>2.3175723620309046</v>
      </c>
      <c r="F73" s="714"/>
      <c r="G73" s="714"/>
      <c r="H73" s="411">
        <f>D73*E73</f>
        <v>1535.5495314417128</v>
      </c>
      <c r="I73" s="416"/>
      <c r="J73" s="767"/>
    </row>
    <row r="74" spans="1:10" ht="15.75">
      <c r="A74" s="426" t="s">
        <v>124</v>
      </c>
      <c r="B74" s="768" t="s">
        <v>105</v>
      </c>
      <c r="C74" s="467"/>
      <c r="D74" s="787">
        <f>'ESTIMATIVA DE HORAS TÉCNICAS'!F72*'ESTIMATIVA DE HORAS TÉCNICAS'!F$943+'ESTIMATIVA DE HORAS TÉCNICAS'!G72*'ESTIMATIVA DE HORAS TÉCNICAS'!F$942+'ESTIMATIVA DE HORAS TÉCNICAS'!H72*'ESTIMATIVA DE HORAS TÉCNICAS'!F$941+'ESTIMATIVA DE HORAS TÉCNICAS'!I72*'ESTIMATIVA DE HORAS TÉCNICAS'!F$945+'ESTIMATIVA DE HORAS TÉCNICAS'!J72*'ESTIMATIVA DE HORAS TÉCNICAS'!F$946+'ESTIMATIVA DE HORAS TÉCNICAS'!K72*'ESTIMATIVA DE HORAS TÉCNICAS'!$F$944+'ESTIMATIVA DE HORAS TÉCNICAS'!L72*'ESTIMATIVA DE HORAS TÉCNICAS'!F$951+'ESTIMATIVA DE HORAS TÉCNICAS'!M72*'ESTIMATIVA DE HORAS TÉCNICAS'!F$950+'ESTIMATIVA DE HORAS TÉCNICAS'!N72*'ESTIMATIVA DE HORAS TÉCNICAS'!F$949+'ESTIMATIVA DE HORAS TÉCNICAS'!O72*'ESTIMATIVA DE HORAS TÉCNICAS'!F$948+'ESTIMATIVA DE HORAS TÉCNICAS'!P72*'ESTIMATIVA DE HORAS TÉCNICAS'!$F$947+'ESTIMATIVA DE HORAS TÉCNICAS'!Q72*'ESTIMATIVA DE HORAS TÉCNICAS'!F$953+'ESTIMATIVA DE HORAS TÉCNICAS'!R72*'ESTIMATIVA DE HORAS TÉCNICAS'!F$954</f>
        <v>662.56810643707377</v>
      </c>
      <c r="E74" s="411">
        <f>'CALCULO DO FATO K'!D$10</f>
        <v>2.3175723620309046</v>
      </c>
      <c r="F74" s="714"/>
      <c r="G74" s="714"/>
      <c r="H74" s="411">
        <f>D74*E74</f>
        <v>1535.5495314417128</v>
      </c>
      <c r="I74" s="416">
        <f>SUM(H73:H74)</f>
        <v>3071.0990628834256</v>
      </c>
      <c r="J74" s="767"/>
    </row>
    <row r="75" spans="1:10" s="532" customFormat="1" ht="15.75">
      <c r="A75" s="426"/>
      <c r="B75" s="768"/>
      <c r="C75" s="467"/>
      <c r="D75" s="787"/>
      <c r="E75" s="411"/>
      <c r="F75" s="714"/>
      <c r="G75" s="714"/>
      <c r="H75" s="411"/>
      <c r="I75" s="416"/>
      <c r="J75" s="767"/>
    </row>
    <row r="76" spans="1:10" ht="15.75">
      <c r="A76" s="426"/>
      <c r="B76" s="768"/>
      <c r="C76" s="467"/>
      <c r="D76" s="787"/>
      <c r="E76" s="714"/>
      <c r="F76" s="714"/>
      <c r="G76" s="714"/>
      <c r="H76" s="714"/>
      <c r="I76" s="416"/>
      <c r="J76" s="767"/>
    </row>
    <row r="77" spans="1:10" ht="15.75">
      <c r="A77" s="852" t="s">
        <v>125</v>
      </c>
      <c r="B77" s="364" t="s">
        <v>126</v>
      </c>
      <c r="C77" s="473"/>
      <c r="D77" s="791"/>
      <c r="E77" s="473"/>
      <c r="F77" s="473"/>
      <c r="G77" s="473"/>
      <c r="H77" s="473"/>
      <c r="I77" s="791"/>
      <c r="J77" s="767"/>
    </row>
    <row r="78" spans="1:10" ht="15.75">
      <c r="A78" s="426" t="s">
        <v>127</v>
      </c>
      <c r="B78" s="428" t="s">
        <v>99</v>
      </c>
      <c r="C78" s="471"/>
      <c r="D78" s="787">
        <f>'ESTIMATIVA DE HORAS TÉCNICAS'!F76*'ESTIMATIVA DE HORAS TÉCNICAS'!F$943+'ESTIMATIVA DE HORAS TÉCNICAS'!G76*'ESTIMATIVA DE HORAS TÉCNICAS'!F$942+'ESTIMATIVA DE HORAS TÉCNICAS'!H76*'ESTIMATIVA DE HORAS TÉCNICAS'!F$941+'ESTIMATIVA DE HORAS TÉCNICAS'!I76*'ESTIMATIVA DE HORAS TÉCNICAS'!F$945+'ESTIMATIVA DE HORAS TÉCNICAS'!J76*'ESTIMATIVA DE HORAS TÉCNICAS'!F$946+'ESTIMATIVA DE HORAS TÉCNICAS'!K76*'ESTIMATIVA DE HORAS TÉCNICAS'!$F$944+'ESTIMATIVA DE HORAS TÉCNICAS'!L76*'ESTIMATIVA DE HORAS TÉCNICAS'!F$951+'ESTIMATIVA DE HORAS TÉCNICAS'!M76*'ESTIMATIVA DE HORAS TÉCNICAS'!F$950+'ESTIMATIVA DE HORAS TÉCNICAS'!N76*'ESTIMATIVA DE HORAS TÉCNICAS'!F$949+'ESTIMATIVA DE HORAS TÉCNICAS'!O76*'ESTIMATIVA DE HORAS TÉCNICAS'!F$948+'ESTIMATIVA DE HORAS TÉCNICAS'!P76*'ESTIMATIVA DE HORAS TÉCNICAS'!$F$947+'ESTIMATIVA DE HORAS TÉCNICAS'!Q76*'ESTIMATIVA DE HORAS TÉCNICAS'!F$953+'ESTIMATIVA DE HORAS TÉCNICAS'!R76*'ESTIMATIVA DE HORAS TÉCNICAS'!F$954</f>
        <v>1994.5023517855084</v>
      </c>
      <c r="E78" s="411">
        <f>'CALCULO DO FATO K'!D$10</f>
        <v>2.3175723620309046</v>
      </c>
      <c r="F78" s="714"/>
      <c r="G78" s="714"/>
      <c r="H78" s="411">
        <f>D78*E78</f>
        <v>4622.4035265037346</v>
      </c>
      <c r="I78" s="416"/>
      <c r="J78" s="767"/>
    </row>
    <row r="79" spans="1:10" ht="15.75">
      <c r="A79" s="426" t="s">
        <v>128</v>
      </c>
      <c r="B79" s="428" t="s">
        <v>105</v>
      </c>
      <c r="C79" s="467"/>
      <c r="D79" s="787">
        <f>'ESTIMATIVA DE HORAS TÉCNICAS'!F77*'ESTIMATIVA DE HORAS TÉCNICAS'!F$943+'ESTIMATIVA DE HORAS TÉCNICAS'!G77*'ESTIMATIVA DE HORAS TÉCNICAS'!F$942+'ESTIMATIVA DE HORAS TÉCNICAS'!H77*'ESTIMATIVA DE HORAS TÉCNICAS'!F$941+'ESTIMATIVA DE HORAS TÉCNICAS'!I77*'ESTIMATIVA DE HORAS TÉCNICAS'!F$945+'ESTIMATIVA DE HORAS TÉCNICAS'!J77*'ESTIMATIVA DE HORAS TÉCNICAS'!F$946+'ESTIMATIVA DE HORAS TÉCNICAS'!K77*'ESTIMATIVA DE HORAS TÉCNICAS'!$F$944+'ESTIMATIVA DE HORAS TÉCNICAS'!L77*'ESTIMATIVA DE HORAS TÉCNICAS'!F$951+'ESTIMATIVA DE HORAS TÉCNICAS'!M77*'ESTIMATIVA DE HORAS TÉCNICAS'!F$950+'ESTIMATIVA DE HORAS TÉCNICAS'!N77*'ESTIMATIVA DE HORAS TÉCNICAS'!F$949+'ESTIMATIVA DE HORAS TÉCNICAS'!O77*'ESTIMATIVA DE HORAS TÉCNICAS'!F$948+'ESTIMATIVA DE HORAS TÉCNICAS'!P77*'ESTIMATIVA DE HORAS TÉCNICAS'!$F$947+'ESTIMATIVA DE HORAS TÉCNICAS'!Q77*'ESTIMATIVA DE HORAS TÉCNICAS'!F$953+'ESTIMATIVA DE HORAS TÉCNICAS'!R77*'ESTIMATIVA DE HORAS TÉCNICAS'!F$954</f>
        <v>2246.8789552756275</v>
      </c>
      <c r="E79" s="411">
        <f>'CALCULO DO FATO K'!D$10</f>
        <v>2.3175723620309046</v>
      </c>
      <c r="F79" s="714"/>
      <c r="G79" s="714"/>
      <c r="H79" s="411">
        <f>D79*E79</f>
        <v>5207.3045675756675</v>
      </c>
      <c r="I79" s="416">
        <f>SUM(H78:H79)</f>
        <v>9829.7080940794021</v>
      </c>
      <c r="J79" s="767"/>
    </row>
    <row r="80" spans="1:10" s="532" customFormat="1" ht="15.75">
      <c r="A80" s="426"/>
      <c r="B80" s="428"/>
      <c r="C80" s="467"/>
      <c r="D80" s="787"/>
      <c r="E80" s="411"/>
      <c r="F80" s="714"/>
      <c r="G80" s="714"/>
      <c r="H80" s="411"/>
      <c r="I80" s="416"/>
      <c r="J80" s="767"/>
    </row>
    <row r="81" spans="1:10" ht="15.75">
      <c r="A81" s="426"/>
      <c r="B81" s="768"/>
      <c r="C81" s="467"/>
      <c r="D81" s="787"/>
      <c r="E81" s="714"/>
      <c r="F81" s="714"/>
      <c r="G81" s="714"/>
      <c r="H81" s="714"/>
      <c r="I81" s="416"/>
      <c r="J81" s="767"/>
    </row>
    <row r="82" spans="1:10" ht="31.5">
      <c r="A82" s="391" t="s">
        <v>129</v>
      </c>
      <c r="B82" s="693" t="s">
        <v>130</v>
      </c>
      <c r="C82" s="473"/>
      <c r="D82" s="480"/>
      <c r="E82" s="473"/>
      <c r="F82" s="473"/>
      <c r="G82" s="473"/>
      <c r="H82" s="473"/>
      <c r="I82" s="791"/>
      <c r="J82" s="767"/>
    </row>
    <row r="83" spans="1:10" ht="15.75">
      <c r="A83" s="391"/>
      <c r="B83" s="427" t="s">
        <v>131</v>
      </c>
      <c r="C83" s="473"/>
      <c r="D83" s="791"/>
      <c r="E83" s="473"/>
      <c r="F83" s="473"/>
      <c r="G83" s="473"/>
      <c r="H83" s="473"/>
      <c r="I83" s="791"/>
      <c r="J83" s="767"/>
    </row>
    <row r="84" spans="1:10" ht="15.75">
      <c r="A84" s="426" t="s">
        <v>132</v>
      </c>
      <c r="B84" s="768" t="s">
        <v>133</v>
      </c>
      <c r="C84" s="409"/>
      <c r="D84" s="787">
        <f>'ESTIMATIVA DE HORAS TÉCNICAS'!F82*'ESTIMATIVA DE HORAS TÉCNICAS'!F$943+'ESTIMATIVA DE HORAS TÉCNICAS'!G82*'ESTIMATIVA DE HORAS TÉCNICAS'!F$942+'ESTIMATIVA DE HORAS TÉCNICAS'!H82*'ESTIMATIVA DE HORAS TÉCNICAS'!F$941+'ESTIMATIVA DE HORAS TÉCNICAS'!I82*'ESTIMATIVA DE HORAS TÉCNICAS'!F$945+'ESTIMATIVA DE HORAS TÉCNICAS'!J82*'ESTIMATIVA DE HORAS TÉCNICAS'!F$946+'ESTIMATIVA DE HORAS TÉCNICAS'!K82*'ESTIMATIVA DE HORAS TÉCNICAS'!$F$944+'ESTIMATIVA DE HORAS TÉCNICAS'!L82*'ESTIMATIVA DE HORAS TÉCNICAS'!F$951+'ESTIMATIVA DE HORAS TÉCNICAS'!M82*'ESTIMATIVA DE HORAS TÉCNICAS'!F$950+'ESTIMATIVA DE HORAS TÉCNICAS'!N82*'ESTIMATIVA DE HORAS TÉCNICAS'!F$949+'ESTIMATIVA DE HORAS TÉCNICAS'!O82*'ESTIMATIVA DE HORAS TÉCNICAS'!F$948+'ESTIMATIVA DE HORAS TÉCNICAS'!P82*'ESTIMATIVA DE HORAS TÉCNICAS'!$F$947+'ESTIMATIVA DE HORAS TÉCNICAS'!Q82*'ESTIMATIVA DE HORAS TÉCNICAS'!F$953+'ESTIMATIVA DE HORAS TÉCNICAS'!R82*'ESTIMATIVA DE HORAS TÉCNICAS'!F$954</f>
        <v>1448.2214463191958</v>
      </c>
      <c r="E84" s="411">
        <f>'CALCULO DO FATO K'!D$10</f>
        <v>2.3175723620309046</v>
      </c>
      <c r="F84" s="714"/>
      <c r="G84" s="714"/>
      <c r="H84" s="411">
        <f>D84*E84</f>
        <v>3356.3579980897916</v>
      </c>
      <c r="I84" s="416"/>
      <c r="J84" s="767"/>
    </row>
    <row r="85" spans="1:10" ht="15.75">
      <c r="A85" s="426" t="s">
        <v>134</v>
      </c>
      <c r="B85" s="428" t="s">
        <v>135</v>
      </c>
      <c r="C85" s="409"/>
      <c r="D85" s="787">
        <f>'ESTIMATIVA DE HORAS TÉCNICAS'!F83*'ESTIMATIVA DE HORAS TÉCNICAS'!F$943+'ESTIMATIVA DE HORAS TÉCNICAS'!G83*'ESTIMATIVA DE HORAS TÉCNICAS'!F$942+'ESTIMATIVA DE HORAS TÉCNICAS'!H83*'ESTIMATIVA DE HORAS TÉCNICAS'!F$941+'ESTIMATIVA DE HORAS TÉCNICAS'!I83*'ESTIMATIVA DE HORAS TÉCNICAS'!F$945+'ESTIMATIVA DE HORAS TÉCNICAS'!J83*'ESTIMATIVA DE HORAS TÉCNICAS'!F$946+'ESTIMATIVA DE HORAS TÉCNICAS'!K83*'ESTIMATIVA DE HORAS TÉCNICAS'!$F$944+'ESTIMATIVA DE HORAS TÉCNICAS'!L83*'ESTIMATIVA DE HORAS TÉCNICAS'!F$951+'ESTIMATIVA DE HORAS TÉCNICAS'!M83*'ESTIMATIVA DE HORAS TÉCNICAS'!F$950+'ESTIMATIVA DE HORAS TÉCNICAS'!N83*'ESTIMATIVA DE HORAS TÉCNICAS'!F$949+'ESTIMATIVA DE HORAS TÉCNICAS'!O83*'ESTIMATIVA DE HORAS TÉCNICAS'!F$948+'ESTIMATIVA DE HORAS TÉCNICAS'!P83*'ESTIMATIVA DE HORAS TÉCNICAS'!$F$947+'ESTIMATIVA DE HORAS TÉCNICAS'!Q83*'ESTIMATIVA DE HORAS TÉCNICAS'!F$953+'ESTIMATIVA DE HORAS TÉCNICAS'!R83*'ESTIMATIVA DE HORAS TÉCNICAS'!F$954</f>
        <v>1590.0607910551255</v>
      </c>
      <c r="E85" s="411">
        <f>'CALCULO DO FATO K'!D$10</f>
        <v>2.3175723620309046</v>
      </c>
      <c r="F85" s="714"/>
      <c r="G85" s="714"/>
      <c r="H85" s="411">
        <f t="shared" ref="H85:H94" si="2">D85*E85</f>
        <v>3685.0809432983556</v>
      </c>
      <c r="I85" s="416"/>
      <c r="J85" s="767"/>
    </row>
    <row r="86" spans="1:10" ht="15.75">
      <c r="A86" s="426" t="s">
        <v>136</v>
      </c>
      <c r="B86" s="428" t="s">
        <v>137</v>
      </c>
      <c r="C86" s="409"/>
      <c r="D86" s="787">
        <f>'ESTIMATIVA DE HORAS TÉCNICAS'!F84*'ESTIMATIVA DE HORAS TÉCNICAS'!F$943+'ESTIMATIVA DE HORAS TÉCNICAS'!G84*'ESTIMATIVA DE HORAS TÉCNICAS'!F$942+'ESTIMATIVA DE HORAS TÉCNICAS'!H84*'ESTIMATIVA DE HORAS TÉCNICAS'!F$941+'ESTIMATIVA DE HORAS TÉCNICAS'!I84*'ESTIMATIVA DE HORAS TÉCNICAS'!F$945+'ESTIMATIVA DE HORAS TÉCNICAS'!J84*'ESTIMATIVA DE HORAS TÉCNICAS'!F$946+'ESTIMATIVA DE HORAS TÉCNICAS'!K84*'ESTIMATIVA DE HORAS TÉCNICAS'!$F$944+'ESTIMATIVA DE HORAS TÉCNICAS'!L84*'ESTIMATIVA DE HORAS TÉCNICAS'!F$951+'ESTIMATIVA DE HORAS TÉCNICAS'!M84*'ESTIMATIVA DE HORAS TÉCNICAS'!F$950+'ESTIMATIVA DE HORAS TÉCNICAS'!N84*'ESTIMATIVA DE HORAS TÉCNICAS'!F$949+'ESTIMATIVA DE HORAS TÉCNICAS'!O84*'ESTIMATIVA DE HORAS TÉCNICAS'!F$948+'ESTIMATIVA DE HORAS TÉCNICAS'!P84*'ESTIMATIVA DE HORAS TÉCNICAS'!$F$947+'ESTIMATIVA DE HORAS TÉCNICAS'!Q84*'ESTIMATIVA DE HORAS TÉCNICAS'!F$953+'ESTIMATIVA DE HORAS TÉCNICAS'!R84*'ESTIMATIVA DE HORAS TÉCNICAS'!F$954</f>
        <v>1590.0607910551255</v>
      </c>
      <c r="E86" s="411">
        <f>'CALCULO DO FATO K'!D$10</f>
        <v>2.3175723620309046</v>
      </c>
      <c r="F86" s="714"/>
      <c r="G86" s="714"/>
      <c r="H86" s="411">
        <f t="shared" si="2"/>
        <v>3685.0809432983556</v>
      </c>
      <c r="I86" s="416"/>
      <c r="J86" s="767"/>
    </row>
    <row r="87" spans="1:10" ht="15.75">
      <c r="A87" s="426" t="s">
        <v>138</v>
      </c>
      <c r="B87" s="768" t="s">
        <v>139</v>
      </c>
      <c r="C87" s="409"/>
      <c r="D87" s="787">
        <f>'ESTIMATIVA DE HORAS TÉCNICAS'!F85*'ESTIMATIVA DE HORAS TÉCNICAS'!F$943+'ESTIMATIVA DE HORAS TÉCNICAS'!G85*'ESTIMATIVA DE HORAS TÉCNICAS'!F$942+'ESTIMATIVA DE HORAS TÉCNICAS'!H85*'ESTIMATIVA DE HORAS TÉCNICAS'!F$941+'ESTIMATIVA DE HORAS TÉCNICAS'!I85*'ESTIMATIVA DE HORAS TÉCNICAS'!F$945+'ESTIMATIVA DE HORAS TÉCNICAS'!J85*'ESTIMATIVA DE HORAS TÉCNICAS'!F$946+'ESTIMATIVA DE HORAS TÉCNICAS'!K85*'ESTIMATIVA DE HORAS TÉCNICAS'!$F$944+'ESTIMATIVA DE HORAS TÉCNICAS'!L85*'ESTIMATIVA DE HORAS TÉCNICAS'!F$951+'ESTIMATIVA DE HORAS TÉCNICAS'!M85*'ESTIMATIVA DE HORAS TÉCNICAS'!F$950+'ESTIMATIVA DE HORAS TÉCNICAS'!N85*'ESTIMATIVA DE HORAS TÉCNICAS'!F$949+'ESTIMATIVA DE HORAS TÉCNICAS'!O85*'ESTIMATIVA DE HORAS TÉCNICAS'!F$948+'ESTIMATIVA DE HORAS TÉCNICAS'!P85*'ESTIMATIVA DE HORAS TÉCNICAS'!$F$947+'ESTIMATIVA DE HORAS TÉCNICAS'!Q85*'ESTIMATIVA DE HORAS TÉCNICAS'!F$953+'ESTIMATIVA DE HORAS TÉCNICAS'!R85*'ESTIMATIVA DE HORAS TÉCNICAS'!F$954</f>
        <v>1985.7886484456262</v>
      </c>
      <c r="E87" s="411">
        <f>'CALCULO DO FATO K'!D$10</f>
        <v>2.3175723620309046</v>
      </c>
      <c r="F87" s="714"/>
      <c r="G87" s="714"/>
      <c r="H87" s="411">
        <f t="shared" si="2"/>
        <v>4602.2088884722871</v>
      </c>
      <c r="I87" s="416"/>
      <c r="J87" s="767"/>
    </row>
    <row r="88" spans="1:10" ht="15.75">
      <c r="A88" s="426" t="s">
        <v>140</v>
      </c>
      <c r="B88" s="768" t="s">
        <v>105</v>
      </c>
      <c r="C88" s="409"/>
      <c r="D88" s="787">
        <f>'ESTIMATIVA DE HORAS TÉCNICAS'!F86*'ESTIMATIVA DE HORAS TÉCNICAS'!F$943+'ESTIMATIVA DE HORAS TÉCNICAS'!G86*'ESTIMATIVA DE HORAS TÉCNICAS'!F$942+'ESTIMATIVA DE HORAS TÉCNICAS'!H86*'ESTIMATIVA DE HORAS TÉCNICAS'!F$941+'ESTIMATIVA DE HORAS TÉCNICAS'!I86*'ESTIMATIVA DE HORAS TÉCNICAS'!F$945+'ESTIMATIVA DE HORAS TÉCNICAS'!J86*'ESTIMATIVA DE HORAS TÉCNICAS'!F$946+'ESTIMATIVA DE HORAS TÉCNICAS'!K86*'ESTIMATIVA DE HORAS TÉCNICAS'!$F$944+'ESTIMATIVA DE HORAS TÉCNICAS'!L86*'ESTIMATIVA DE HORAS TÉCNICAS'!F$951+'ESTIMATIVA DE HORAS TÉCNICAS'!M86*'ESTIMATIVA DE HORAS TÉCNICAS'!F$950+'ESTIMATIVA DE HORAS TÉCNICAS'!N86*'ESTIMATIVA DE HORAS TÉCNICAS'!F$949+'ESTIMATIVA DE HORAS TÉCNICAS'!O86*'ESTIMATIVA DE HORAS TÉCNICAS'!F$948+'ESTIMATIVA DE HORAS TÉCNICAS'!P86*'ESTIMATIVA DE HORAS TÉCNICAS'!$F$947+'ESTIMATIVA DE HORAS TÉCNICAS'!Q86*'ESTIMATIVA DE HORAS TÉCNICAS'!F$953+'ESTIMATIVA DE HORAS TÉCNICAS'!R86*'ESTIMATIVA DE HORAS TÉCNICAS'!F$954</f>
        <v>2935.4896914364967</v>
      </c>
      <c r="E88" s="411">
        <f>'CALCULO DO FATO K'!D$10</f>
        <v>2.3175723620309046</v>
      </c>
      <c r="F88" s="714"/>
      <c r="G88" s="714"/>
      <c r="H88" s="411">
        <f t="shared" si="2"/>
        <v>6803.2097778998532</v>
      </c>
      <c r="I88" s="416"/>
      <c r="J88" s="767"/>
    </row>
    <row r="89" spans="1:10" ht="15.75">
      <c r="A89" s="426" t="s">
        <v>141</v>
      </c>
      <c r="B89" s="768" t="s">
        <v>142</v>
      </c>
      <c r="C89" s="409"/>
      <c r="D89" s="787">
        <f>'ESTIMATIVA DE HORAS TÉCNICAS'!F87*'ESTIMATIVA DE HORAS TÉCNICAS'!F$943+'ESTIMATIVA DE HORAS TÉCNICAS'!G87*'ESTIMATIVA DE HORAS TÉCNICAS'!F$942+'ESTIMATIVA DE HORAS TÉCNICAS'!H87*'ESTIMATIVA DE HORAS TÉCNICAS'!F$941+'ESTIMATIVA DE HORAS TÉCNICAS'!I87*'ESTIMATIVA DE HORAS TÉCNICAS'!F$945+'ESTIMATIVA DE HORAS TÉCNICAS'!J87*'ESTIMATIVA DE HORAS TÉCNICAS'!F$946+'ESTIMATIVA DE HORAS TÉCNICAS'!K87*'ESTIMATIVA DE HORAS TÉCNICAS'!$F$944+'ESTIMATIVA DE HORAS TÉCNICAS'!L87*'ESTIMATIVA DE HORAS TÉCNICAS'!F$951+'ESTIMATIVA DE HORAS TÉCNICAS'!M87*'ESTIMATIVA DE HORAS TÉCNICAS'!F$950+'ESTIMATIVA DE HORAS TÉCNICAS'!N87*'ESTIMATIVA DE HORAS TÉCNICAS'!F$949+'ESTIMATIVA DE HORAS TÉCNICAS'!O87*'ESTIMATIVA DE HORAS TÉCNICAS'!F$948+'ESTIMATIVA DE HORAS TÉCNICAS'!P87*'ESTIMATIVA DE HORAS TÉCNICAS'!$F$947+'ESTIMATIVA DE HORAS TÉCNICAS'!Q87*'ESTIMATIVA DE HORAS TÉCNICAS'!F$953+'ESTIMATIVA DE HORAS TÉCNICAS'!R87*'ESTIMATIVA DE HORAS TÉCNICAS'!F$954</f>
        <v>2935.4896914364967</v>
      </c>
      <c r="E89" s="411">
        <f>'CALCULO DO FATO K'!D$10</f>
        <v>2.3175723620309046</v>
      </c>
      <c r="F89" s="714"/>
      <c r="G89" s="714"/>
      <c r="H89" s="411">
        <f t="shared" si="2"/>
        <v>6803.2097778998532</v>
      </c>
      <c r="I89" s="416"/>
      <c r="J89" s="767"/>
    </row>
    <row r="90" spans="1:10" s="318" customFormat="1" ht="15.75">
      <c r="A90" s="426" t="s">
        <v>143</v>
      </c>
      <c r="B90" s="768" t="s">
        <v>144</v>
      </c>
      <c r="C90" s="409"/>
      <c r="D90" s="787">
        <f>'ESTIMATIVA DE HORAS TÉCNICAS'!F88*'ESTIMATIVA DE HORAS TÉCNICAS'!F$943+'ESTIMATIVA DE HORAS TÉCNICAS'!G88*'ESTIMATIVA DE HORAS TÉCNICAS'!F$942+'ESTIMATIVA DE HORAS TÉCNICAS'!H88*'ESTIMATIVA DE HORAS TÉCNICAS'!F$941+'ESTIMATIVA DE HORAS TÉCNICAS'!I88*'ESTIMATIVA DE HORAS TÉCNICAS'!F$945+'ESTIMATIVA DE HORAS TÉCNICAS'!J88*'ESTIMATIVA DE HORAS TÉCNICAS'!F$946+'ESTIMATIVA DE HORAS TÉCNICAS'!K88*'ESTIMATIVA DE HORAS TÉCNICAS'!$F$944+'ESTIMATIVA DE HORAS TÉCNICAS'!L88*'ESTIMATIVA DE HORAS TÉCNICAS'!F$951+'ESTIMATIVA DE HORAS TÉCNICAS'!M88*'ESTIMATIVA DE HORAS TÉCNICAS'!F$950+'ESTIMATIVA DE HORAS TÉCNICAS'!N88*'ESTIMATIVA DE HORAS TÉCNICAS'!F$949+'ESTIMATIVA DE HORAS TÉCNICAS'!O88*'ESTIMATIVA DE HORAS TÉCNICAS'!F$948+'ESTIMATIVA DE HORAS TÉCNICAS'!P88*'ESTIMATIVA DE HORAS TÉCNICAS'!$F$947+'ESTIMATIVA DE HORAS TÉCNICAS'!Q88*'ESTIMATIVA DE HORAS TÉCNICAS'!F$953+'ESTIMATIVA DE HORAS TÉCNICAS'!R88*'ESTIMATIVA DE HORAS TÉCNICAS'!F$954</f>
        <v>1985.7886484456262</v>
      </c>
      <c r="E90" s="411">
        <f>'CALCULO DO FATO K'!D$10</f>
        <v>2.3175723620309046</v>
      </c>
      <c r="F90" s="714"/>
      <c r="G90" s="714"/>
      <c r="H90" s="411">
        <f t="shared" si="2"/>
        <v>4602.2088884722871</v>
      </c>
      <c r="I90" s="416"/>
      <c r="J90" s="767"/>
    </row>
    <row r="91" spans="1:10" s="318" customFormat="1" ht="15.75">
      <c r="A91" s="426" t="s">
        <v>145</v>
      </c>
      <c r="B91" s="768" t="s">
        <v>146</v>
      </c>
      <c r="C91" s="409"/>
      <c r="D91" s="787">
        <f>'ESTIMATIVA DE HORAS TÉCNICAS'!F89*'ESTIMATIVA DE HORAS TÉCNICAS'!F$943+'ESTIMATIVA DE HORAS TÉCNICAS'!G89*'ESTIMATIVA DE HORAS TÉCNICAS'!F$942+'ESTIMATIVA DE HORAS TÉCNICAS'!H89*'ESTIMATIVA DE HORAS TÉCNICAS'!F$941+'ESTIMATIVA DE HORAS TÉCNICAS'!I89*'ESTIMATIVA DE HORAS TÉCNICAS'!F$945+'ESTIMATIVA DE HORAS TÉCNICAS'!J89*'ESTIMATIVA DE HORAS TÉCNICAS'!F$946+'ESTIMATIVA DE HORAS TÉCNICAS'!K89*'ESTIMATIVA DE HORAS TÉCNICAS'!$F$944+'ESTIMATIVA DE HORAS TÉCNICAS'!L89*'ESTIMATIVA DE HORAS TÉCNICAS'!F$951+'ESTIMATIVA DE HORAS TÉCNICAS'!M89*'ESTIMATIVA DE HORAS TÉCNICAS'!F$950+'ESTIMATIVA DE HORAS TÉCNICAS'!N89*'ESTIMATIVA DE HORAS TÉCNICAS'!F$949+'ESTIMATIVA DE HORAS TÉCNICAS'!O89*'ESTIMATIVA DE HORAS TÉCNICAS'!F$948+'ESTIMATIVA DE HORAS TÉCNICAS'!P89*'ESTIMATIVA DE HORAS TÉCNICAS'!$F$947+'ESTIMATIVA DE HORAS TÉCNICAS'!Q89*'ESTIMATIVA DE HORAS TÉCNICAS'!F$953+'ESTIMATIVA DE HORAS TÉCNICAS'!R89*'ESTIMATIVA DE HORAS TÉCNICAS'!F$954</f>
        <v>1448.2214463191958</v>
      </c>
      <c r="E91" s="411">
        <f>'CALCULO DO FATO K'!D$10</f>
        <v>2.3175723620309046</v>
      </c>
      <c r="F91" s="714"/>
      <c r="G91" s="714"/>
      <c r="H91" s="411">
        <f t="shared" si="2"/>
        <v>3356.3579980897916</v>
      </c>
      <c r="I91" s="416"/>
      <c r="J91" s="767"/>
    </row>
    <row r="92" spans="1:10" ht="15.75">
      <c r="A92" s="426" t="s">
        <v>147</v>
      </c>
      <c r="B92" s="768" t="s">
        <v>148</v>
      </c>
      <c r="C92" s="409"/>
      <c r="D92" s="787">
        <f>'ESTIMATIVA DE HORAS TÉCNICAS'!F90*'ESTIMATIVA DE HORAS TÉCNICAS'!F$943+'ESTIMATIVA DE HORAS TÉCNICAS'!G90*'ESTIMATIVA DE HORAS TÉCNICAS'!F$942+'ESTIMATIVA DE HORAS TÉCNICAS'!H90*'ESTIMATIVA DE HORAS TÉCNICAS'!F$941+'ESTIMATIVA DE HORAS TÉCNICAS'!I90*'ESTIMATIVA DE HORAS TÉCNICAS'!F$945+'ESTIMATIVA DE HORAS TÉCNICAS'!J90*'ESTIMATIVA DE HORAS TÉCNICAS'!F$946+'ESTIMATIVA DE HORAS TÉCNICAS'!K90*'ESTIMATIVA DE HORAS TÉCNICAS'!$F$944+'ESTIMATIVA DE HORAS TÉCNICAS'!L90*'ESTIMATIVA DE HORAS TÉCNICAS'!F$951+'ESTIMATIVA DE HORAS TÉCNICAS'!M90*'ESTIMATIVA DE HORAS TÉCNICAS'!F$950+'ESTIMATIVA DE HORAS TÉCNICAS'!N90*'ESTIMATIVA DE HORAS TÉCNICAS'!F$949+'ESTIMATIVA DE HORAS TÉCNICAS'!O90*'ESTIMATIVA DE HORAS TÉCNICAS'!F$948+'ESTIMATIVA DE HORAS TÉCNICAS'!P90*'ESTIMATIVA DE HORAS TÉCNICAS'!$F$947+'ESTIMATIVA DE HORAS TÉCNICAS'!Q90*'ESTIMATIVA DE HORAS TÉCNICAS'!F$953+'ESTIMATIVA DE HORAS TÉCNICAS'!R90*'ESTIMATIVA DE HORAS TÉCNICAS'!F$954</f>
        <v>2540.5177886282218</v>
      </c>
      <c r="E92" s="411">
        <f>'CALCULO DO FATO K'!D$10</f>
        <v>2.3175723620309046</v>
      </c>
      <c r="F92" s="714"/>
      <c r="G92" s="714"/>
      <c r="H92" s="411">
        <f t="shared" si="2"/>
        <v>5887.8338121726383</v>
      </c>
      <c r="I92" s="416"/>
      <c r="J92" s="767"/>
    </row>
    <row r="93" spans="1:10" ht="15.75">
      <c r="A93" s="426" t="s">
        <v>149</v>
      </c>
      <c r="B93" s="768" t="s">
        <v>150</v>
      </c>
      <c r="C93" s="409"/>
      <c r="D93" s="787">
        <f>'ESTIMATIVA DE HORAS TÉCNICAS'!F91*'ESTIMATIVA DE HORAS TÉCNICAS'!F$943+'ESTIMATIVA DE HORAS TÉCNICAS'!G91*'ESTIMATIVA DE HORAS TÉCNICAS'!F$942+'ESTIMATIVA DE HORAS TÉCNICAS'!H91*'ESTIMATIVA DE HORAS TÉCNICAS'!F$941+'ESTIMATIVA DE HORAS TÉCNICAS'!I91*'ESTIMATIVA DE HORAS TÉCNICAS'!F$945+'ESTIMATIVA DE HORAS TÉCNICAS'!J91*'ESTIMATIVA DE HORAS TÉCNICAS'!F$946+'ESTIMATIVA DE HORAS TÉCNICAS'!K91*'ESTIMATIVA DE HORAS TÉCNICAS'!$F$944+'ESTIMATIVA DE HORAS TÉCNICAS'!L91*'ESTIMATIVA DE HORAS TÉCNICAS'!F$951+'ESTIMATIVA DE HORAS TÉCNICAS'!M91*'ESTIMATIVA DE HORAS TÉCNICAS'!F$950+'ESTIMATIVA DE HORAS TÉCNICAS'!N91*'ESTIMATIVA DE HORAS TÉCNICAS'!F$949+'ESTIMATIVA DE HORAS TÉCNICAS'!O91*'ESTIMATIVA DE HORAS TÉCNICAS'!F$948+'ESTIMATIVA DE HORAS TÉCNICAS'!P91*'ESTIMATIVA DE HORAS TÉCNICAS'!$F$947+'ESTIMATIVA DE HORAS TÉCNICAS'!Q91*'ESTIMATIVA DE HORAS TÉCNICAS'!F$953+'ESTIMATIVA DE HORAS TÉCNICAS'!R91*'ESTIMATIVA DE HORAS TÉCNICAS'!F$954</f>
        <v>1816.4070654686241</v>
      </c>
      <c r="E93" s="411">
        <f>'CALCULO DO FATO K'!D$10</f>
        <v>2.3175723620309046</v>
      </c>
      <c r="F93" s="714"/>
      <c r="G93" s="714"/>
      <c r="H93" s="411">
        <f t="shared" si="2"/>
        <v>4209.6548131277432</v>
      </c>
      <c r="I93" s="416"/>
      <c r="J93" s="767"/>
    </row>
    <row r="94" spans="1:10" ht="15.75">
      <c r="A94" s="426" t="s">
        <v>151</v>
      </c>
      <c r="B94" s="768" t="s">
        <v>152</v>
      </c>
      <c r="C94" s="409"/>
      <c r="D94" s="787">
        <f>'ESTIMATIVA DE HORAS TÉCNICAS'!F92*'ESTIMATIVA DE HORAS TÉCNICAS'!F$943+'ESTIMATIVA DE HORAS TÉCNICAS'!G92*'ESTIMATIVA DE HORAS TÉCNICAS'!F$942+'ESTIMATIVA DE HORAS TÉCNICAS'!H92*'ESTIMATIVA DE HORAS TÉCNICAS'!F$941+'ESTIMATIVA DE HORAS TÉCNICAS'!I92*'ESTIMATIVA DE HORAS TÉCNICAS'!F$945+'ESTIMATIVA DE HORAS TÉCNICAS'!J92*'ESTIMATIVA DE HORAS TÉCNICAS'!F$946+'ESTIMATIVA DE HORAS TÉCNICAS'!K92*'ESTIMATIVA DE HORAS TÉCNICAS'!$F$944+'ESTIMATIVA DE HORAS TÉCNICAS'!L92*'ESTIMATIVA DE HORAS TÉCNICAS'!F$951+'ESTIMATIVA DE HORAS TÉCNICAS'!M92*'ESTIMATIVA DE HORAS TÉCNICAS'!F$950+'ESTIMATIVA DE HORAS TÉCNICAS'!N92*'ESTIMATIVA DE HORAS TÉCNICAS'!F$949+'ESTIMATIVA DE HORAS TÉCNICAS'!O92*'ESTIMATIVA DE HORAS TÉCNICAS'!F$948+'ESTIMATIVA DE HORAS TÉCNICAS'!P92*'ESTIMATIVA DE HORAS TÉCNICAS'!$F$947+'ESTIMATIVA DE HORAS TÉCNICAS'!Q92*'ESTIMATIVA DE HORAS TÉCNICAS'!F$953+'ESTIMATIVA DE HORAS TÉCNICAS'!R92*'ESTIMATIVA DE HORAS TÉCNICAS'!F$954</f>
        <v>724.11072315959791</v>
      </c>
      <c r="E94" s="411">
        <f>'CALCULO DO FATO K'!D$10</f>
        <v>2.3175723620309046</v>
      </c>
      <c r="F94" s="714"/>
      <c r="G94" s="714"/>
      <c r="H94" s="411">
        <f t="shared" si="2"/>
        <v>1678.1789990448958</v>
      </c>
      <c r="I94" s="416">
        <f>SUM(H84:H94)</f>
        <v>48669.382839865859</v>
      </c>
      <c r="J94" s="767"/>
    </row>
    <row r="95" spans="1:10" s="532" customFormat="1" ht="15.75">
      <c r="A95" s="426"/>
      <c r="B95" s="768"/>
      <c r="C95" s="409"/>
      <c r="D95" s="787"/>
      <c r="E95" s="411"/>
      <c r="F95" s="714"/>
      <c r="G95" s="714"/>
      <c r="H95" s="411"/>
      <c r="I95" s="416"/>
      <c r="J95" s="767"/>
    </row>
    <row r="96" spans="1:10" ht="15.75">
      <c r="A96" s="426"/>
      <c r="B96" s="768"/>
      <c r="C96" s="409"/>
      <c r="D96" s="787"/>
      <c r="E96" s="714"/>
      <c r="F96" s="714"/>
      <c r="G96" s="714"/>
      <c r="H96" s="714"/>
      <c r="I96" s="416"/>
      <c r="J96" s="767"/>
    </row>
    <row r="97" spans="1:10" ht="31.5">
      <c r="A97" s="363" t="s">
        <v>153</v>
      </c>
      <c r="B97" s="660" t="s">
        <v>154</v>
      </c>
      <c r="C97" s="474"/>
      <c r="D97" s="480"/>
      <c r="E97" s="475"/>
      <c r="F97" s="475"/>
      <c r="G97" s="475"/>
      <c r="H97" s="475"/>
      <c r="I97" s="476"/>
      <c r="J97" s="767"/>
    </row>
    <row r="98" spans="1:10" ht="15.75">
      <c r="A98" s="426" t="s">
        <v>155</v>
      </c>
      <c r="B98" s="428" t="s">
        <v>99</v>
      </c>
      <c r="C98" s="409"/>
      <c r="D98" s="787">
        <f>'ESTIMATIVA DE HORAS TÉCNICAS'!F96*'ESTIMATIVA DE HORAS TÉCNICAS'!F$943+'ESTIMATIVA DE HORAS TÉCNICAS'!G96*'ESTIMATIVA DE HORAS TÉCNICAS'!F$942+'ESTIMATIVA DE HORAS TÉCNICAS'!H96*'ESTIMATIVA DE HORAS TÉCNICAS'!F$941+'ESTIMATIVA DE HORAS TÉCNICAS'!I96*'ESTIMATIVA DE HORAS TÉCNICAS'!F$945+'ESTIMATIVA DE HORAS TÉCNICAS'!J96*'ESTIMATIVA DE HORAS TÉCNICAS'!F$946+'ESTIMATIVA DE HORAS TÉCNICAS'!K96*'ESTIMATIVA DE HORAS TÉCNICAS'!$F$944+'ESTIMATIVA DE HORAS TÉCNICAS'!L96*'ESTIMATIVA DE HORAS TÉCNICAS'!F$951+'ESTIMATIVA DE HORAS TÉCNICAS'!M96*'ESTIMATIVA DE HORAS TÉCNICAS'!F$950+'ESTIMATIVA DE HORAS TÉCNICAS'!N96*'ESTIMATIVA DE HORAS TÉCNICAS'!F$949+'ESTIMATIVA DE HORAS TÉCNICAS'!O96*'ESTIMATIVA DE HORAS TÉCNICAS'!F$948+'ESTIMATIVA DE HORAS TÉCNICAS'!P96*'ESTIMATIVA DE HORAS TÉCNICAS'!$F$947+'ESTIMATIVA DE HORAS TÉCNICAS'!Q96*'ESTIMATIVA DE HORAS TÉCNICAS'!F$953+'ESTIMATIVA DE HORAS TÉCNICAS'!R96*'ESTIMATIVA DE HORAS TÉCNICAS'!F$954</f>
        <v>5744.2607553449679</v>
      </c>
      <c r="E98" s="411">
        <f>'CALCULO DO FATO K'!D$10</f>
        <v>2.3175723620309046</v>
      </c>
      <c r="F98" s="714"/>
      <c r="G98" s="714"/>
      <c r="H98" s="411">
        <f>D98*E98</f>
        <v>13312.739966886265</v>
      </c>
      <c r="I98" s="416"/>
      <c r="J98" s="767"/>
    </row>
    <row r="99" spans="1:10" ht="15.75">
      <c r="A99" s="426" t="s">
        <v>156</v>
      </c>
      <c r="B99" s="428" t="s">
        <v>137</v>
      </c>
      <c r="C99" s="409"/>
      <c r="D99" s="787">
        <f>'ESTIMATIVA DE HORAS TÉCNICAS'!F97*'ESTIMATIVA DE HORAS TÉCNICAS'!F$943+'ESTIMATIVA DE HORAS TÉCNICAS'!G97*'ESTIMATIVA DE HORAS TÉCNICAS'!F$942+'ESTIMATIVA DE HORAS TÉCNICAS'!H97*'ESTIMATIVA DE HORAS TÉCNICAS'!F$941+'ESTIMATIVA DE HORAS TÉCNICAS'!I97*'ESTIMATIVA DE HORAS TÉCNICAS'!F$945+'ESTIMATIVA DE HORAS TÉCNICAS'!J97*'ESTIMATIVA DE HORAS TÉCNICAS'!F$946+'ESTIMATIVA DE HORAS TÉCNICAS'!K97*'ESTIMATIVA DE HORAS TÉCNICAS'!$F$944+'ESTIMATIVA DE HORAS TÉCNICAS'!L97*'ESTIMATIVA DE HORAS TÉCNICAS'!F$951+'ESTIMATIVA DE HORAS TÉCNICAS'!M97*'ESTIMATIVA DE HORAS TÉCNICAS'!F$950+'ESTIMATIVA DE HORAS TÉCNICAS'!N97*'ESTIMATIVA DE HORAS TÉCNICAS'!F$949+'ESTIMATIVA DE HORAS TÉCNICAS'!O97*'ESTIMATIVA DE HORAS TÉCNICAS'!F$948+'ESTIMATIVA DE HORAS TÉCNICAS'!P97*'ESTIMATIVA DE HORAS TÉCNICAS'!$F$947+'ESTIMATIVA DE HORAS TÉCNICAS'!Q97*'ESTIMATIVA DE HORAS TÉCNICAS'!F$953+'ESTIMATIVA DE HORAS TÉCNICAS'!R97*'ESTIMATIVA DE HORAS TÉCNICAS'!F$954</f>
        <v>4363.2332622211952</v>
      </c>
      <c r="E99" s="411">
        <f>'CALCULO DO FATO K'!D$10</f>
        <v>2.3175723620309046</v>
      </c>
      <c r="F99" s="714"/>
      <c r="G99" s="714"/>
      <c r="H99" s="411">
        <f>D99*E99</f>
        <v>10112.108817617784</v>
      </c>
      <c r="I99" s="416"/>
      <c r="J99" s="767"/>
    </row>
    <row r="100" spans="1:10" ht="15.75">
      <c r="A100" s="426" t="s">
        <v>157</v>
      </c>
      <c r="B100" s="768" t="s">
        <v>105</v>
      </c>
      <c r="C100" s="409"/>
      <c r="D100" s="787">
        <f>'ESTIMATIVA DE HORAS TÉCNICAS'!F98*'ESTIMATIVA DE HORAS TÉCNICAS'!F$943+'ESTIMATIVA DE HORAS TÉCNICAS'!G98*'ESTIMATIVA DE HORAS TÉCNICAS'!F$942+'ESTIMATIVA DE HORAS TÉCNICAS'!H98*'ESTIMATIVA DE HORAS TÉCNICAS'!F$941+'ESTIMATIVA DE HORAS TÉCNICAS'!I98*'ESTIMATIVA DE HORAS TÉCNICAS'!F$945+'ESTIMATIVA DE HORAS TÉCNICAS'!J98*'ESTIMATIVA DE HORAS TÉCNICAS'!F$946+'ESTIMATIVA DE HORAS TÉCNICAS'!K98*'ESTIMATIVA DE HORAS TÉCNICAS'!$F$944+'ESTIMATIVA DE HORAS TÉCNICAS'!L98*'ESTIMATIVA DE HORAS TÉCNICAS'!F$951+'ESTIMATIVA DE HORAS TÉCNICAS'!M98*'ESTIMATIVA DE HORAS TÉCNICAS'!F$950+'ESTIMATIVA DE HORAS TÉCNICAS'!N98*'ESTIMATIVA DE HORAS TÉCNICAS'!F$949+'ESTIMATIVA DE HORAS TÉCNICAS'!O98*'ESTIMATIVA DE HORAS TÉCNICAS'!F$948+'ESTIMATIVA DE HORAS TÉCNICAS'!P98*'ESTIMATIVA DE HORAS TÉCNICAS'!$F$947+'ESTIMATIVA DE HORAS TÉCNICAS'!Q98*'ESTIMATIVA DE HORAS TÉCNICAS'!F$953+'ESTIMATIVA DE HORAS TÉCNICAS'!R98*'ESTIMATIVA DE HORAS TÉCNICAS'!F$954</f>
        <v>6138.4767035710165</v>
      </c>
      <c r="E100" s="411">
        <f>'CALCULO DO FATO K'!D$10</f>
        <v>2.3175723620309046</v>
      </c>
      <c r="F100" s="714"/>
      <c r="G100" s="714"/>
      <c r="H100" s="411">
        <f>D100*E100</f>
        <v>14226.363953166761</v>
      </c>
      <c r="I100" s="416">
        <f>SUM(H98:H100)</f>
        <v>37651.212737670809</v>
      </c>
      <c r="J100" s="767"/>
    </row>
    <row r="101" spans="1:10" s="532" customFormat="1" ht="15.75">
      <c r="A101" s="426"/>
      <c r="B101" s="768"/>
      <c r="C101" s="409"/>
      <c r="D101" s="787"/>
      <c r="E101" s="411"/>
      <c r="F101" s="714"/>
      <c r="G101" s="714"/>
      <c r="H101" s="411"/>
      <c r="I101" s="416"/>
      <c r="J101" s="767"/>
    </row>
    <row r="102" spans="1:10" ht="15.75">
      <c r="A102" s="426"/>
      <c r="B102" s="768"/>
      <c r="C102" s="409"/>
      <c r="D102" s="787"/>
      <c r="E102" s="714"/>
      <c r="F102" s="714"/>
      <c r="G102" s="714"/>
      <c r="H102" s="714"/>
      <c r="I102" s="416"/>
      <c r="J102" s="767"/>
    </row>
    <row r="103" spans="1:10" ht="15.75">
      <c r="A103" s="363" t="s">
        <v>158</v>
      </c>
      <c r="B103" s="427" t="s">
        <v>159</v>
      </c>
      <c r="C103" s="474"/>
      <c r="D103" s="480"/>
      <c r="E103" s="475"/>
      <c r="F103" s="475"/>
      <c r="G103" s="475"/>
      <c r="H103" s="475"/>
      <c r="I103" s="476"/>
      <c r="J103" s="767"/>
    </row>
    <row r="104" spans="1:10" ht="15.75">
      <c r="A104" s="426" t="s">
        <v>160</v>
      </c>
      <c r="B104" s="428" t="s">
        <v>99</v>
      </c>
      <c r="C104" s="409"/>
      <c r="D104" s="787">
        <f>'ESTIMATIVA DE HORAS TÉCNICAS'!F102*'ESTIMATIVA DE HORAS TÉCNICAS'!F$943+'ESTIMATIVA DE HORAS TÉCNICAS'!G102*'ESTIMATIVA DE HORAS TÉCNICAS'!F$942+'ESTIMATIVA DE HORAS TÉCNICAS'!H102*'ESTIMATIVA DE HORAS TÉCNICAS'!F$941+'ESTIMATIVA DE HORAS TÉCNICAS'!I102*'ESTIMATIVA DE HORAS TÉCNICAS'!F$945+'ESTIMATIVA DE HORAS TÉCNICAS'!J102*'ESTIMATIVA DE HORAS TÉCNICAS'!F$946+'ESTIMATIVA DE HORAS TÉCNICAS'!K102*'ESTIMATIVA DE HORAS TÉCNICAS'!$F$944+'ESTIMATIVA DE HORAS TÉCNICAS'!L102*'ESTIMATIVA DE HORAS TÉCNICAS'!F$951+'ESTIMATIVA DE HORAS TÉCNICAS'!M102*'ESTIMATIVA DE HORAS TÉCNICAS'!F$950+'ESTIMATIVA DE HORAS TÉCNICAS'!N102*'ESTIMATIVA DE HORAS TÉCNICAS'!F$949+'ESTIMATIVA DE HORAS TÉCNICAS'!O102*'ESTIMATIVA DE HORAS TÉCNICAS'!F$948+'ESTIMATIVA DE HORAS TÉCNICAS'!P102*'ESTIMATIVA DE HORAS TÉCNICAS'!$F$947+'ESTIMATIVA DE HORAS TÉCNICAS'!Q102*'ESTIMATIVA DE HORAS TÉCNICAS'!F$953+'ESTIMATIVA DE HORAS TÉCNICAS'!R102*'ESTIMATIVA DE HORAS TÉCNICAS'!F$954</f>
        <v>1024.3088182133365</v>
      </c>
      <c r="E104" s="411">
        <f>'CALCULO DO FATO K'!D$10</f>
        <v>2.3175723620309046</v>
      </c>
      <c r="F104" s="714"/>
      <c r="G104" s="714"/>
      <c r="H104" s="411">
        <f>D104*E104</f>
        <v>2373.9098072757665</v>
      </c>
      <c r="I104" s="416"/>
      <c r="J104" s="767"/>
    </row>
    <row r="105" spans="1:10" ht="15.75">
      <c r="A105" s="426" t="s">
        <v>161</v>
      </c>
      <c r="B105" s="428" t="s">
        <v>137</v>
      </c>
      <c r="C105" s="409"/>
      <c r="D105" s="787">
        <f>'ESTIMATIVA DE HORAS TÉCNICAS'!F103*'ESTIMATIVA DE HORAS TÉCNICAS'!F$943+'ESTIMATIVA DE HORAS TÉCNICAS'!G103*'ESTIMATIVA DE HORAS TÉCNICAS'!F$942+'ESTIMATIVA DE HORAS TÉCNICAS'!H103*'ESTIMATIVA DE HORAS TÉCNICAS'!F$941+'ESTIMATIVA DE HORAS TÉCNICAS'!I103*'ESTIMATIVA DE HORAS TÉCNICAS'!F$945+'ESTIMATIVA DE HORAS TÉCNICAS'!J103*'ESTIMATIVA DE HORAS TÉCNICAS'!F$946+'ESTIMATIVA DE HORAS TÉCNICAS'!K103*'ESTIMATIVA DE HORAS TÉCNICAS'!$F$944+'ESTIMATIVA DE HORAS TÉCNICAS'!L103*'ESTIMATIVA DE HORAS TÉCNICAS'!F$951+'ESTIMATIVA DE HORAS TÉCNICAS'!M103*'ESTIMATIVA DE HORAS TÉCNICAS'!F$950+'ESTIMATIVA DE HORAS TÉCNICAS'!N103*'ESTIMATIVA DE HORAS TÉCNICAS'!F$949+'ESTIMATIVA DE HORAS TÉCNICAS'!O103*'ESTIMATIVA DE HORAS TÉCNICAS'!F$948+'ESTIMATIVA DE HORAS TÉCNICAS'!P103*'ESTIMATIVA DE HORAS TÉCNICAS'!$F$947+'ESTIMATIVA DE HORAS TÉCNICAS'!Q103*'ESTIMATIVA DE HORAS TÉCNICAS'!F$953+'ESTIMATIVA DE HORAS TÉCNICAS'!R103*'ESTIMATIVA DE HORAS TÉCNICAS'!F$954</f>
        <v>1197.1878241072461</v>
      </c>
      <c r="E105" s="411">
        <f>'CALCULO DO FATO K'!D$10</f>
        <v>2.3175723620309046</v>
      </c>
      <c r="F105" s="714"/>
      <c r="G105" s="714"/>
      <c r="H105" s="411">
        <f>D105*E105</f>
        <v>2774.5694133108695</v>
      </c>
      <c r="I105" s="416"/>
      <c r="J105" s="767"/>
    </row>
    <row r="106" spans="1:10" ht="15.75">
      <c r="A106" s="426" t="s">
        <v>162</v>
      </c>
      <c r="B106" s="768" t="s">
        <v>105</v>
      </c>
      <c r="C106" s="409"/>
      <c r="D106" s="787">
        <f>'ESTIMATIVA DE HORAS TÉCNICAS'!F104*'ESTIMATIVA DE HORAS TÉCNICAS'!F$943+'ESTIMATIVA DE HORAS TÉCNICAS'!G104*'ESTIMATIVA DE HORAS TÉCNICAS'!F$942+'ESTIMATIVA DE HORAS TÉCNICAS'!H104*'ESTIMATIVA DE HORAS TÉCNICAS'!F$941+'ESTIMATIVA DE HORAS TÉCNICAS'!I104*'ESTIMATIVA DE HORAS TÉCNICAS'!F$945+'ESTIMATIVA DE HORAS TÉCNICAS'!J104*'ESTIMATIVA DE HORAS TÉCNICAS'!F$946+'ESTIMATIVA DE HORAS TÉCNICAS'!K104*'ESTIMATIVA DE HORAS TÉCNICAS'!$F$944+'ESTIMATIVA DE HORAS TÉCNICAS'!L104*'ESTIMATIVA DE HORAS TÉCNICAS'!F$951+'ESTIMATIVA DE HORAS TÉCNICAS'!M104*'ESTIMATIVA DE HORAS TÉCNICAS'!F$950+'ESTIMATIVA DE HORAS TÉCNICAS'!N104*'ESTIMATIVA DE HORAS TÉCNICAS'!F$949+'ESTIMATIVA DE HORAS TÉCNICAS'!O104*'ESTIMATIVA DE HORAS TÉCNICAS'!F$948+'ESTIMATIVA DE HORAS TÉCNICAS'!P104*'ESTIMATIVA DE HORAS TÉCNICAS'!$F$947+'ESTIMATIVA DE HORAS TÉCNICAS'!Q104*'ESTIMATIVA DE HORAS TÉCNICAS'!F$953+'ESTIMATIVA DE HORAS TÉCNICAS'!R104*'ESTIMATIVA DE HORAS TÉCNICAS'!F$954</f>
        <v>2077.3349594360338</v>
      </c>
      <c r="E106" s="411">
        <f>'CALCULO DO FATO K'!D$10</f>
        <v>2.3175723620309046</v>
      </c>
      <c r="F106" s="714"/>
      <c r="G106" s="714"/>
      <c r="H106" s="411">
        <f>D106*E106</f>
        <v>4814.3740886695423</v>
      </c>
      <c r="I106" s="416">
        <f>SUM(H104:H106)</f>
        <v>9962.8533092561775</v>
      </c>
      <c r="J106" s="767"/>
    </row>
    <row r="107" spans="1:10" s="532" customFormat="1" ht="15.75">
      <c r="A107" s="426"/>
      <c r="B107" s="768"/>
      <c r="C107" s="409"/>
      <c r="D107" s="787"/>
      <c r="E107" s="411"/>
      <c r="F107" s="714"/>
      <c r="G107" s="714"/>
      <c r="H107" s="411"/>
      <c r="I107" s="416"/>
      <c r="J107" s="767"/>
    </row>
    <row r="108" spans="1:10" ht="15.75">
      <c r="A108" s="69"/>
      <c r="B108" s="768"/>
      <c r="C108" s="409"/>
      <c r="D108" s="787"/>
      <c r="E108" s="714"/>
      <c r="F108" s="714"/>
      <c r="G108" s="714"/>
      <c r="H108" s="714"/>
      <c r="I108" s="416"/>
      <c r="J108" s="767"/>
    </row>
    <row r="109" spans="1:10" ht="15.75">
      <c r="A109" s="363" t="s">
        <v>163</v>
      </c>
      <c r="B109" s="427" t="s">
        <v>164</v>
      </c>
      <c r="C109" s="474"/>
      <c r="D109" s="480"/>
      <c r="E109" s="475"/>
      <c r="F109" s="475"/>
      <c r="G109" s="475"/>
      <c r="H109" s="475"/>
      <c r="I109" s="476"/>
      <c r="J109" s="767"/>
    </row>
    <row r="110" spans="1:10" ht="15.75">
      <c r="A110" s="426" t="s">
        <v>165</v>
      </c>
      <c r="B110" s="428" t="s">
        <v>99</v>
      </c>
      <c r="C110" s="409"/>
      <c r="D110" s="787">
        <f>'ESTIMATIVA DE HORAS TÉCNICAS'!F108*'ESTIMATIVA DE HORAS TÉCNICAS'!F$943+'ESTIMATIVA DE HORAS TÉCNICAS'!G108*'ESTIMATIVA DE HORAS TÉCNICAS'!F$942+'ESTIMATIVA DE HORAS TÉCNICAS'!H108*'ESTIMATIVA DE HORAS TÉCNICAS'!F$941+'ESTIMATIVA DE HORAS TÉCNICAS'!I108*'ESTIMATIVA DE HORAS TÉCNICAS'!F$945+'ESTIMATIVA DE HORAS TÉCNICAS'!J108*'ESTIMATIVA DE HORAS TÉCNICAS'!F$946+'ESTIMATIVA DE HORAS TÉCNICAS'!K108*'ESTIMATIVA DE HORAS TÉCNICAS'!$F$944+'ESTIMATIVA DE HORAS TÉCNICAS'!L108*'ESTIMATIVA DE HORAS TÉCNICAS'!F$951+'ESTIMATIVA DE HORAS TÉCNICAS'!M108*'ESTIMATIVA DE HORAS TÉCNICAS'!F$950+'ESTIMATIVA DE HORAS TÉCNICAS'!N108*'ESTIMATIVA DE HORAS TÉCNICAS'!F$949+'ESTIMATIVA DE HORAS TÉCNICAS'!O108*'ESTIMATIVA DE HORAS TÉCNICAS'!F$948+'ESTIMATIVA DE HORAS TÉCNICAS'!P108*'ESTIMATIVA DE HORAS TÉCNICAS'!$F$947+'ESTIMATIVA DE HORAS TÉCNICAS'!Q108*'ESTIMATIVA DE HORAS TÉCNICAS'!F$953+'ESTIMATIVA DE HORAS TÉCNICAS'!R108*'ESTIMATIVA DE HORAS TÉCNICAS'!F$954</f>
        <v>3585.5126851958867</v>
      </c>
      <c r="E110" s="411">
        <f>'CALCULO DO FATO K'!D$10</f>
        <v>2.3175723620309046</v>
      </c>
      <c r="F110" s="714"/>
      <c r="G110" s="714"/>
      <c r="H110" s="411">
        <f t="shared" ref="H110:H115" si="3">D110*E110</f>
        <v>8309.685102921203</v>
      </c>
      <c r="I110" s="416"/>
      <c r="J110" s="767"/>
    </row>
    <row r="111" spans="1:10" ht="15.75">
      <c r="A111" s="426" t="s">
        <v>166</v>
      </c>
      <c r="B111" s="656" t="s">
        <v>167</v>
      </c>
      <c r="C111" s="409"/>
      <c r="D111" s="787">
        <f>'ESTIMATIVA DE HORAS TÉCNICAS'!F109*'ESTIMATIVA DE HORAS TÉCNICAS'!F$943+'ESTIMATIVA DE HORAS TÉCNICAS'!G109*'ESTIMATIVA DE HORAS TÉCNICAS'!F$942+'ESTIMATIVA DE HORAS TÉCNICAS'!H109*'ESTIMATIVA DE HORAS TÉCNICAS'!F$941+'ESTIMATIVA DE HORAS TÉCNICAS'!I109*'ESTIMATIVA DE HORAS TÉCNICAS'!F$945+'ESTIMATIVA DE HORAS TÉCNICAS'!J109*'ESTIMATIVA DE HORAS TÉCNICAS'!F$946+'ESTIMATIVA DE HORAS TÉCNICAS'!K109*'ESTIMATIVA DE HORAS TÉCNICAS'!$F$944+'ESTIMATIVA DE HORAS TÉCNICAS'!L109*'ESTIMATIVA DE HORAS TÉCNICAS'!F$951+'ESTIMATIVA DE HORAS TÉCNICAS'!M109*'ESTIMATIVA DE HORAS TÉCNICAS'!F$950+'ESTIMATIVA DE HORAS TÉCNICAS'!N109*'ESTIMATIVA DE HORAS TÉCNICAS'!F$949+'ESTIMATIVA DE HORAS TÉCNICAS'!O109*'ESTIMATIVA DE HORAS TÉCNICAS'!F$948+'ESTIMATIVA DE HORAS TÉCNICAS'!P109*'ESTIMATIVA DE HORAS TÉCNICAS'!$F$947+'ESTIMATIVA DE HORAS TÉCNICAS'!Q109*'ESTIMATIVA DE HORAS TÉCNICAS'!F$953+'ESTIMATIVA DE HORAS TÉCNICAS'!R109*'ESTIMATIVA DE HORAS TÉCNICAS'!F$954</f>
        <v>1838.1450208020347</v>
      </c>
      <c r="E111" s="411">
        <f>'CALCULO DO FATO K'!D$10</f>
        <v>2.3175723620309046</v>
      </c>
      <c r="F111" s="714"/>
      <c r="G111" s="714"/>
      <c r="H111" s="411">
        <f t="shared" si="3"/>
        <v>4260.0340976155176</v>
      </c>
      <c r="I111" s="416"/>
      <c r="J111" s="767"/>
    </row>
    <row r="112" spans="1:10" ht="15.75">
      <c r="A112" s="426" t="s">
        <v>168</v>
      </c>
      <c r="B112" s="768" t="s">
        <v>169</v>
      </c>
      <c r="C112" s="409"/>
      <c r="D112" s="787">
        <f>'ESTIMATIVA DE HORAS TÉCNICAS'!F110*'ESTIMATIVA DE HORAS TÉCNICAS'!F$943+'ESTIMATIVA DE HORAS TÉCNICAS'!G110*'ESTIMATIVA DE HORAS TÉCNICAS'!F$942+'ESTIMATIVA DE HORAS TÉCNICAS'!H110*'ESTIMATIVA DE HORAS TÉCNICAS'!F$941+'ESTIMATIVA DE HORAS TÉCNICAS'!I110*'ESTIMATIVA DE HORAS TÉCNICAS'!F$945+'ESTIMATIVA DE HORAS TÉCNICAS'!J110*'ESTIMATIVA DE HORAS TÉCNICAS'!F$946+'ESTIMATIVA DE HORAS TÉCNICAS'!K110*'ESTIMATIVA DE HORAS TÉCNICAS'!$F$944+'ESTIMATIVA DE HORAS TÉCNICAS'!L110*'ESTIMATIVA DE HORAS TÉCNICAS'!F$951+'ESTIMATIVA DE HORAS TÉCNICAS'!M110*'ESTIMATIVA DE HORAS TÉCNICAS'!F$950+'ESTIMATIVA DE HORAS TÉCNICAS'!N110*'ESTIMATIVA DE HORAS TÉCNICAS'!F$949+'ESTIMATIVA DE HORAS TÉCNICAS'!O110*'ESTIMATIVA DE HORAS TÉCNICAS'!F$948+'ESTIMATIVA DE HORAS TÉCNICAS'!P110*'ESTIMATIVA DE HORAS TÉCNICAS'!$F$947+'ESTIMATIVA DE HORAS TÉCNICAS'!Q110*'ESTIMATIVA DE HORAS TÉCNICAS'!F$953+'ESTIMATIVA DE HORAS TÉCNICAS'!R110*'ESTIMATIVA DE HORAS TÉCNICAS'!F$954</f>
        <v>2373.0488041719645</v>
      </c>
      <c r="E112" s="411">
        <f>'CALCULO DO FATO K'!D$10</f>
        <v>2.3175723620309046</v>
      </c>
      <c r="F112" s="714"/>
      <c r="G112" s="714"/>
      <c r="H112" s="411">
        <f t="shared" si="3"/>
        <v>5499.7123222994333</v>
      </c>
      <c r="I112" s="416"/>
      <c r="J112" s="767"/>
    </row>
    <row r="113" spans="1:10" ht="15.75">
      <c r="A113" s="426" t="s">
        <v>170</v>
      </c>
      <c r="B113" s="768" t="s">
        <v>171</v>
      </c>
      <c r="C113" s="409"/>
      <c r="D113" s="787">
        <f>'ESTIMATIVA DE HORAS TÉCNICAS'!F111*'ESTIMATIVA DE HORAS TÉCNICAS'!F$943+'ESTIMATIVA DE HORAS TÉCNICAS'!G111*'ESTIMATIVA DE HORAS TÉCNICAS'!F$942+'ESTIMATIVA DE HORAS TÉCNICAS'!H111*'ESTIMATIVA DE HORAS TÉCNICAS'!F$941+'ESTIMATIVA DE HORAS TÉCNICAS'!I111*'ESTIMATIVA DE HORAS TÉCNICAS'!F$945+'ESTIMATIVA DE HORAS TÉCNICAS'!J111*'ESTIMATIVA DE HORAS TÉCNICAS'!F$946+'ESTIMATIVA DE HORAS TÉCNICAS'!K111*'ESTIMATIVA DE HORAS TÉCNICAS'!$F$944+'ESTIMATIVA DE HORAS TÉCNICAS'!L111*'ESTIMATIVA DE HORAS TÉCNICAS'!F$951+'ESTIMATIVA DE HORAS TÉCNICAS'!M111*'ESTIMATIVA DE HORAS TÉCNICAS'!F$950+'ESTIMATIVA DE HORAS TÉCNICAS'!N111*'ESTIMATIVA DE HORAS TÉCNICAS'!F$949+'ESTIMATIVA DE HORAS TÉCNICAS'!O111*'ESTIMATIVA DE HORAS TÉCNICAS'!F$948+'ESTIMATIVA DE HORAS TÉCNICAS'!P111*'ESTIMATIVA DE HORAS TÉCNICAS'!$F$947+'ESTIMATIVA DE HORAS TÉCNICAS'!Q111*'ESTIMATIVA DE HORAS TÉCNICAS'!F$953+'ESTIMATIVA DE HORAS TÉCNICAS'!R111*'ESTIMATIVA DE HORAS TÉCNICAS'!F$954</f>
        <v>1517.2027507800767</v>
      </c>
      <c r="E113" s="411">
        <f>'CALCULO DO FATO K'!D$10</f>
        <v>2.3175723620309046</v>
      </c>
      <c r="F113" s="714"/>
      <c r="G113" s="714"/>
      <c r="H113" s="411">
        <f t="shared" si="3"/>
        <v>3516.2271628051681</v>
      </c>
      <c r="I113" s="416"/>
      <c r="J113" s="767"/>
    </row>
    <row r="114" spans="1:10" ht="15.75">
      <c r="A114" s="426" t="s">
        <v>172</v>
      </c>
      <c r="B114" s="768" t="s">
        <v>173</v>
      </c>
      <c r="C114" s="409"/>
      <c r="D114" s="787">
        <f>'ESTIMATIVA DE HORAS TÉCNICAS'!F112*'ESTIMATIVA DE HORAS TÉCNICAS'!F$943+'ESTIMATIVA DE HORAS TÉCNICAS'!G112*'ESTIMATIVA DE HORAS TÉCNICAS'!F$942+'ESTIMATIVA DE HORAS TÉCNICAS'!H112*'ESTIMATIVA DE HORAS TÉCNICAS'!F$941+'ESTIMATIVA DE HORAS TÉCNICAS'!I112*'ESTIMATIVA DE HORAS TÉCNICAS'!F$945+'ESTIMATIVA DE HORAS TÉCNICAS'!J112*'ESTIMATIVA DE HORAS TÉCNICAS'!F$946+'ESTIMATIVA DE HORAS TÉCNICAS'!K112*'ESTIMATIVA DE HORAS TÉCNICAS'!$F$944+'ESTIMATIVA DE HORAS TÉCNICAS'!L112*'ESTIMATIVA DE HORAS TÉCNICAS'!F$951+'ESTIMATIVA DE HORAS TÉCNICAS'!M112*'ESTIMATIVA DE HORAS TÉCNICAS'!F$950+'ESTIMATIVA DE HORAS TÉCNICAS'!N112*'ESTIMATIVA DE HORAS TÉCNICAS'!F$949+'ESTIMATIVA DE HORAS TÉCNICAS'!O112*'ESTIMATIVA DE HORAS TÉCNICAS'!F$948+'ESTIMATIVA DE HORAS TÉCNICAS'!P112*'ESTIMATIVA DE HORAS TÉCNICAS'!$F$947+'ESTIMATIVA DE HORAS TÉCNICAS'!Q112*'ESTIMATIVA DE HORAS TÉCNICAS'!F$953+'ESTIMATIVA DE HORAS TÉCNICAS'!R112*'ESTIMATIVA DE HORAS TÉCNICAS'!F$954</f>
        <v>4244.3228781925354</v>
      </c>
      <c r="E114" s="411">
        <f>'CALCULO DO FATO K'!D$10</f>
        <v>2.3175723620309046</v>
      </c>
      <c r="F114" s="714"/>
      <c r="G114" s="714"/>
      <c r="H114" s="411">
        <f t="shared" si="3"/>
        <v>9836.5253980344824</v>
      </c>
      <c r="I114" s="416"/>
      <c r="J114" s="767"/>
    </row>
    <row r="115" spans="1:10" ht="15.75">
      <c r="A115" s="426" t="s">
        <v>174</v>
      </c>
      <c r="B115" s="768" t="s">
        <v>112</v>
      </c>
      <c r="C115" s="409"/>
      <c r="D115" s="787">
        <f>'ESTIMATIVA DE HORAS TÉCNICAS'!F113*'ESTIMATIVA DE HORAS TÉCNICAS'!F$943+'ESTIMATIVA DE HORAS TÉCNICAS'!G113*'ESTIMATIVA DE HORAS TÉCNICAS'!F$942+'ESTIMATIVA DE HORAS TÉCNICAS'!H113*'ESTIMATIVA DE HORAS TÉCNICAS'!F$941+'ESTIMATIVA DE HORAS TÉCNICAS'!I113*'ESTIMATIVA DE HORAS TÉCNICAS'!F$945+'ESTIMATIVA DE HORAS TÉCNICAS'!J113*'ESTIMATIVA DE HORAS TÉCNICAS'!F$946+'ESTIMATIVA DE HORAS TÉCNICAS'!K113*'ESTIMATIVA DE HORAS TÉCNICAS'!$F$944+'ESTIMATIVA DE HORAS TÉCNICAS'!L113*'ESTIMATIVA DE HORAS TÉCNICAS'!F$951+'ESTIMATIVA DE HORAS TÉCNICAS'!M113*'ESTIMATIVA DE HORAS TÉCNICAS'!F$950+'ESTIMATIVA DE HORAS TÉCNICAS'!N113*'ESTIMATIVA DE HORAS TÉCNICAS'!F$949+'ESTIMATIVA DE HORAS TÉCNICAS'!O113*'ESTIMATIVA DE HORAS TÉCNICAS'!F$948+'ESTIMATIVA DE HORAS TÉCNICAS'!P113*'ESTIMATIVA DE HORAS TÉCNICAS'!$F$947+'ESTIMATIVA DE HORAS TÉCNICAS'!Q113*'ESTIMATIVA DE HORAS TÉCNICAS'!F$953+'ESTIMATIVA DE HORAS TÉCNICAS'!R113*'ESTIMATIVA DE HORAS TÉCNICAS'!F$954</f>
        <v>2353.5766468276906</v>
      </c>
      <c r="E115" s="411">
        <f>'CALCULO DO FATO K'!D$10</f>
        <v>2.3175723620309046</v>
      </c>
      <c r="F115" s="714"/>
      <c r="G115" s="714"/>
      <c r="H115" s="411">
        <f t="shared" si="3"/>
        <v>5454.5841886092267</v>
      </c>
      <c r="I115" s="416">
        <f>SUM(H110:H115)</f>
        <v>36876.76827228503</v>
      </c>
      <c r="J115" s="767"/>
    </row>
    <row r="116" spans="1:10" s="532" customFormat="1" ht="15.75">
      <c r="A116" s="426"/>
      <c r="B116" s="768"/>
      <c r="C116" s="409"/>
      <c r="D116" s="787"/>
      <c r="E116" s="411"/>
      <c r="F116" s="714"/>
      <c r="G116" s="714"/>
      <c r="H116" s="411"/>
      <c r="I116" s="416"/>
      <c r="J116" s="767"/>
    </row>
    <row r="117" spans="1:10" ht="15.75">
      <c r="A117" s="426"/>
      <c r="B117" s="768"/>
      <c r="C117" s="409"/>
      <c r="D117" s="787"/>
      <c r="E117" s="714"/>
      <c r="F117" s="714"/>
      <c r="G117" s="714"/>
      <c r="H117" s="714"/>
      <c r="I117" s="416"/>
      <c r="J117" s="767"/>
    </row>
    <row r="118" spans="1:10" ht="15.75">
      <c r="A118" s="363" t="s">
        <v>175</v>
      </c>
      <c r="B118" s="367" t="s">
        <v>176</v>
      </c>
      <c r="C118" s="474"/>
      <c r="D118" s="480"/>
      <c r="E118" s="475"/>
      <c r="F118" s="475"/>
      <c r="G118" s="475"/>
      <c r="H118" s="475"/>
      <c r="I118" s="476"/>
      <c r="J118" s="767"/>
    </row>
    <row r="119" spans="1:10" ht="15.75">
      <c r="A119" s="426" t="s">
        <v>177</v>
      </c>
      <c r="B119" s="428" t="s">
        <v>99</v>
      </c>
      <c r="C119" s="409"/>
      <c r="D119" s="787">
        <f>'ESTIMATIVA DE HORAS TÉCNICAS'!F117*'ESTIMATIVA DE HORAS TÉCNICAS'!F$943+'ESTIMATIVA DE HORAS TÉCNICAS'!G117*'ESTIMATIVA DE HORAS TÉCNICAS'!F$942+'ESTIMATIVA DE HORAS TÉCNICAS'!H117*'ESTIMATIVA DE HORAS TÉCNICAS'!F$941+'ESTIMATIVA DE HORAS TÉCNICAS'!I117*'ESTIMATIVA DE HORAS TÉCNICAS'!F$945+'ESTIMATIVA DE HORAS TÉCNICAS'!J117*'ESTIMATIVA DE HORAS TÉCNICAS'!F$946+'ESTIMATIVA DE HORAS TÉCNICAS'!K117*'ESTIMATIVA DE HORAS TÉCNICAS'!$F$944+'ESTIMATIVA DE HORAS TÉCNICAS'!L117*'ESTIMATIVA DE HORAS TÉCNICAS'!F$951+'ESTIMATIVA DE HORAS TÉCNICAS'!M117*'ESTIMATIVA DE HORAS TÉCNICAS'!F$950+'ESTIMATIVA DE HORAS TÉCNICAS'!N117*'ESTIMATIVA DE HORAS TÉCNICAS'!F$949+'ESTIMATIVA DE HORAS TÉCNICAS'!O117*'ESTIMATIVA DE HORAS TÉCNICAS'!F$948+'ESTIMATIVA DE HORAS TÉCNICAS'!P117*'ESTIMATIVA DE HORAS TÉCNICAS'!$F$947+'ESTIMATIVA DE HORAS TÉCNICAS'!Q117*'ESTIMATIVA DE HORAS TÉCNICAS'!F$953+'ESTIMATIVA DE HORAS TÉCNICAS'!R117*'ESTIMATIVA DE HORAS TÉCNICAS'!F$954</f>
        <v>2957.2769056974466</v>
      </c>
      <c r="E119" s="411">
        <f>'CALCULO DO FATO K'!D$10</f>
        <v>2.3175723620309046</v>
      </c>
      <c r="F119" s="714"/>
      <c r="G119" s="714"/>
      <c r="H119" s="411">
        <f>D119*E119</f>
        <v>6853.7032235166762</v>
      </c>
      <c r="I119" s="416"/>
      <c r="J119" s="767"/>
    </row>
    <row r="120" spans="1:10" ht="15.75">
      <c r="A120" s="426" t="s">
        <v>178</v>
      </c>
      <c r="B120" s="768" t="s">
        <v>139</v>
      </c>
      <c r="C120" s="409"/>
      <c r="D120" s="787">
        <f>'ESTIMATIVA DE HORAS TÉCNICAS'!F118*'ESTIMATIVA DE HORAS TÉCNICAS'!F$943+'ESTIMATIVA DE HORAS TÉCNICAS'!G118*'ESTIMATIVA DE HORAS TÉCNICAS'!F$942+'ESTIMATIVA DE HORAS TÉCNICAS'!H118*'ESTIMATIVA DE HORAS TÉCNICAS'!F$941+'ESTIMATIVA DE HORAS TÉCNICAS'!I118*'ESTIMATIVA DE HORAS TÉCNICAS'!F$945+'ESTIMATIVA DE HORAS TÉCNICAS'!J118*'ESTIMATIVA DE HORAS TÉCNICAS'!F$946+'ESTIMATIVA DE HORAS TÉCNICAS'!K118*'ESTIMATIVA DE HORAS TÉCNICAS'!$F$944+'ESTIMATIVA DE HORAS TÉCNICAS'!L118*'ESTIMATIVA DE HORAS TÉCNICAS'!F$951+'ESTIMATIVA DE HORAS TÉCNICAS'!M118*'ESTIMATIVA DE HORAS TÉCNICAS'!F$950+'ESTIMATIVA DE HORAS TÉCNICAS'!N118*'ESTIMATIVA DE HORAS TÉCNICAS'!F$949+'ESTIMATIVA DE HORAS TÉCNICAS'!O118*'ESTIMATIVA DE HORAS TÉCNICAS'!F$948+'ESTIMATIVA DE HORAS TÉCNICAS'!P118*'ESTIMATIVA DE HORAS TÉCNICAS'!$F$947+'ESTIMATIVA DE HORAS TÉCNICAS'!Q118*'ESTIMATIVA DE HORAS TÉCNICAS'!F$953+'ESTIMATIVA DE HORAS TÉCNICAS'!R118*'ESTIMATIVA DE HORAS TÉCNICAS'!F$954</f>
        <v>1557.3836467121232</v>
      </c>
      <c r="E120" s="411">
        <f>'CALCULO DO FATO K'!D$10</f>
        <v>2.3175723620309046</v>
      </c>
      <c r="F120" s="714"/>
      <c r="G120" s="714"/>
      <c r="H120" s="411">
        <f>D120*E120</f>
        <v>3609.3492966989193</v>
      </c>
      <c r="I120" s="416"/>
      <c r="J120" s="767"/>
    </row>
    <row r="121" spans="1:10" ht="15.75">
      <c r="A121" s="426" t="s">
        <v>179</v>
      </c>
      <c r="B121" s="768" t="s">
        <v>105</v>
      </c>
      <c r="C121" s="409"/>
      <c r="D121" s="787">
        <f>'ESTIMATIVA DE HORAS TÉCNICAS'!F119*'ESTIMATIVA DE HORAS TÉCNICAS'!F$943+'ESTIMATIVA DE HORAS TÉCNICAS'!G119*'ESTIMATIVA DE HORAS TÉCNICAS'!F$942+'ESTIMATIVA DE HORAS TÉCNICAS'!H119*'ESTIMATIVA DE HORAS TÉCNICAS'!F$941+'ESTIMATIVA DE HORAS TÉCNICAS'!I119*'ESTIMATIVA DE HORAS TÉCNICAS'!F$945+'ESTIMATIVA DE HORAS TÉCNICAS'!J119*'ESTIMATIVA DE HORAS TÉCNICAS'!F$946+'ESTIMATIVA DE HORAS TÉCNICAS'!K119*'ESTIMATIVA DE HORAS TÉCNICAS'!$F$944+'ESTIMATIVA DE HORAS TÉCNICAS'!L119*'ESTIMATIVA DE HORAS TÉCNICAS'!F$951+'ESTIMATIVA DE HORAS TÉCNICAS'!M119*'ESTIMATIVA DE HORAS TÉCNICAS'!F$950+'ESTIMATIVA DE HORAS TÉCNICAS'!N119*'ESTIMATIVA DE HORAS TÉCNICAS'!F$949+'ESTIMATIVA DE HORAS TÉCNICAS'!O119*'ESTIMATIVA DE HORAS TÉCNICAS'!F$948+'ESTIMATIVA DE HORAS TÉCNICAS'!P119*'ESTIMATIVA DE HORAS TÉCNICAS'!$F$947+'ESTIMATIVA DE HORAS TÉCNICAS'!Q119*'ESTIMATIVA DE HORAS TÉCNICAS'!F$953+'ESTIMATIVA DE HORAS TÉCNICAS'!R119*'ESTIMATIVA DE HORAS TÉCNICAS'!F$954</f>
        <v>4746.1417329249989</v>
      </c>
      <c r="E121" s="411">
        <f>'CALCULO DO FATO K'!D$10</f>
        <v>2.3175723620309046</v>
      </c>
      <c r="F121" s="714"/>
      <c r="G121" s="714"/>
      <c r="H121" s="411">
        <f>D121*E121</f>
        <v>10999.526906508439</v>
      </c>
      <c r="I121" s="416">
        <f>SUM(H119:H121)</f>
        <v>21462.579426724034</v>
      </c>
      <c r="J121" s="767"/>
    </row>
    <row r="122" spans="1:10" s="532" customFormat="1" ht="15.75">
      <c r="A122" s="426"/>
      <c r="B122" s="768"/>
      <c r="C122" s="409"/>
      <c r="D122" s="787"/>
      <c r="E122" s="411"/>
      <c r="F122" s="714"/>
      <c r="G122" s="714"/>
      <c r="H122" s="411"/>
      <c r="I122" s="416"/>
      <c r="J122" s="767"/>
    </row>
    <row r="123" spans="1:10" ht="15.75">
      <c r="A123" s="426"/>
      <c r="B123" s="768"/>
      <c r="C123" s="409"/>
      <c r="D123" s="787"/>
      <c r="E123" s="714"/>
      <c r="F123" s="714"/>
      <c r="G123" s="714"/>
      <c r="H123" s="714"/>
      <c r="I123" s="416"/>
      <c r="J123" s="767"/>
    </row>
    <row r="124" spans="1:10" ht="15.75">
      <c r="A124" s="363" t="s">
        <v>180</v>
      </c>
      <c r="B124" s="427" t="s">
        <v>181</v>
      </c>
      <c r="C124" s="474"/>
      <c r="D124" s="480"/>
      <c r="E124" s="475"/>
      <c r="F124" s="475"/>
      <c r="G124" s="475"/>
      <c r="H124" s="475"/>
      <c r="I124" s="476"/>
      <c r="J124" s="767"/>
    </row>
    <row r="125" spans="1:10" ht="15.75">
      <c r="A125" s="426" t="s">
        <v>182</v>
      </c>
      <c r="B125" s="428" t="s">
        <v>99</v>
      </c>
      <c r="C125" s="409"/>
      <c r="D125" s="787">
        <f>'ESTIMATIVA DE HORAS TÉCNICAS'!F123*'ESTIMATIVA DE HORAS TÉCNICAS'!F$943+'ESTIMATIVA DE HORAS TÉCNICAS'!G123*'ESTIMATIVA DE HORAS TÉCNICAS'!F$942+'ESTIMATIVA DE HORAS TÉCNICAS'!H123*'ESTIMATIVA DE HORAS TÉCNICAS'!F$941+'ESTIMATIVA DE HORAS TÉCNICAS'!I123*'ESTIMATIVA DE HORAS TÉCNICAS'!F$945+'ESTIMATIVA DE HORAS TÉCNICAS'!J123*'ESTIMATIVA DE HORAS TÉCNICAS'!F$946+'ESTIMATIVA DE HORAS TÉCNICAS'!K123*'ESTIMATIVA DE HORAS TÉCNICAS'!$F$944+'ESTIMATIVA DE HORAS TÉCNICAS'!L123*'ESTIMATIVA DE HORAS TÉCNICAS'!F$951+'ESTIMATIVA DE HORAS TÉCNICAS'!M123*'ESTIMATIVA DE HORAS TÉCNICAS'!F$950+'ESTIMATIVA DE HORAS TÉCNICAS'!N123*'ESTIMATIVA DE HORAS TÉCNICAS'!F$949+'ESTIMATIVA DE HORAS TÉCNICAS'!O123*'ESTIMATIVA DE HORAS TÉCNICAS'!F$948+'ESTIMATIVA DE HORAS TÉCNICAS'!P123*'ESTIMATIVA DE HORAS TÉCNICAS'!$F$947+'ESTIMATIVA DE HORAS TÉCNICAS'!Q123*'ESTIMATIVA DE HORAS TÉCNICAS'!F$953+'ESTIMATIVA DE HORAS TÉCNICAS'!R123*'ESTIMATIVA DE HORAS TÉCNICAS'!F$954</f>
        <v>1137.1564523142265</v>
      </c>
      <c r="E125" s="411">
        <f>'CALCULO DO FATO K'!D$10</f>
        <v>2.3175723620309046</v>
      </c>
      <c r="F125" s="714"/>
      <c r="G125" s="714"/>
      <c r="H125" s="411">
        <f>D125*E125</f>
        <v>2635.4423651885654</v>
      </c>
      <c r="I125" s="416"/>
      <c r="J125" s="767"/>
    </row>
    <row r="126" spans="1:10" ht="15.75">
      <c r="A126" s="426" t="s">
        <v>183</v>
      </c>
      <c r="B126" s="768" t="s">
        <v>101</v>
      </c>
      <c r="C126" s="409"/>
      <c r="D126" s="787">
        <f>'ESTIMATIVA DE HORAS TÉCNICAS'!F124*'ESTIMATIVA DE HORAS TÉCNICAS'!F$943+'ESTIMATIVA DE HORAS TÉCNICAS'!G124*'ESTIMATIVA DE HORAS TÉCNICAS'!F$942+'ESTIMATIVA DE HORAS TÉCNICAS'!H124*'ESTIMATIVA DE HORAS TÉCNICAS'!F$941+'ESTIMATIVA DE HORAS TÉCNICAS'!I124*'ESTIMATIVA DE HORAS TÉCNICAS'!F$945+'ESTIMATIVA DE HORAS TÉCNICAS'!J124*'ESTIMATIVA DE HORAS TÉCNICAS'!F$946+'ESTIMATIVA DE HORAS TÉCNICAS'!K124*'ESTIMATIVA DE HORAS TÉCNICAS'!$F$944+'ESTIMATIVA DE HORAS TÉCNICAS'!L124*'ESTIMATIVA DE HORAS TÉCNICAS'!F$951+'ESTIMATIVA DE HORAS TÉCNICAS'!M124*'ESTIMATIVA DE HORAS TÉCNICAS'!F$950+'ESTIMATIVA DE HORAS TÉCNICAS'!N124*'ESTIMATIVA DE HORAS TÉCNICAS'!F$949+'ESTIMATIVA DE HORAS TÉCNICAS'!O124*'ESTIMATIVA DE HORAS TÉCNICAS'!F$948+'ESTIMATIVA DE HORAS TÉCNICAS'!P124*'ESTIMATIVA DE HORAS TÉCNICAS'!$F$947+'ESTIMATIVA DE HORAS TÉCNICAS'!Q124*'ESTIMATIVA DE HORAS TÉCNICAS'!F$953+'ESTIMATIVA DE HORAS TÉCNICAS'!R124*'ESTIMATIVA DE HORAS TÉCNICAS'!F$954</f>
        <v>1010.9681505691669</v>
      </c>
      <c r="E126" s="411">
        <f>'CALCULO DO FATO K'!D$10</f>
        <v>2.3175723620309046</v>
      </c>
      <c r="F126" s="714"/>
      <c r="G126" s="714"/>
      <c r="H126" s="411">
        <f>D126*E126</f>
        <v>2342.9918446525994</v>
      </c>
      <c r="I126" s="416"/>
      <c r="J126" s="767"/>
    </row>
    <row r="127" spans="1:10" ht="15.75">
      <c r="A127" s="426" t="s">
        <v>184</v>
      </c>
      <c r="B127" s="768" t="s">
        <v>112</v>
      </c>
      <c r="C127" s="409"/>
      <c r="D127" s="787">
        <f>'ESTIMATIVA DE HORAS TÉCNICAS'!F125*'ESTIMATIVA DE HORAS TÉCNICAS'!F$943+'ESTIMATIVA DE HORAS TÉCNICAS'!G125*'ESTIMATIVA DE HORAS TÉCNICAS'!F$942+'ESTIMATIVA DE HORAS TÉCNICAS'!H125*'ESTIMATIVA DE HORAS TÉCNICAS'!F$941+'ESTIMATIVA DE HORAS TÉCNICAS'!I125*'ESTIMATIVA DE HORAS TÉCNICAS'!F$945+'ESTIMATIVA DE HORAS TÉCNICAS'!J125*'ESTIMATIVA DE HORAS TÉCNICAS'!F$946+'ESTIMATIVA DE HORAS TÉCNICAS'!K125*'ESTIMATIVA DE HORAS TÉCNICAS'!$F$944+'ESTIMATIVA DE HORAS TÉCNICAS'!L125*'ESTIMATIVA DE HORAS TÉCNICAS'!F$951+'ESTIMATIVA DE HORAS TÉCNICAS'!M125*'ESTIMATIVA DE HORAS TÉCNICAS'!F$950+'ESTIMATIVA DE HORAS TÉCNICAS'!N125*'ESTIMATIVA DE HORAS TÉCNICAS'!F$949+'ESTIMATIVA DE HORAS TÉCNICAS'!O125*'ESTIMATIVA DE HORAS TÉCNICAS'!F$948+'ESTIMATIVA DE HORAS TÉCNICAS'!P125*'ESTIMATIVA DE HORAS TÉCNICAS'!$F$947+'ESTIMATIVA DE HORAS TÉCNICAS'!Q125*'ESTIMATIVA DE HORAS TÉCNICAS'!F$953+'ESTIMATIVA DE HORAS TÉCNICAS'!R125*'ESTIMATIVA DE HORAS TÉCNICAS'!F$954</f>
        <v>1152.8074953050968</v>
      </c>
      <c r="E127" s="411">
        <f>'CALCULO DO FATO K'!D$10</f>
        <v>2.3175723620309046</v>
      </c>
      <c r="F127" s="714"/>
      <c r="G127" s="714"/>
      <c r="H127" s="411">
        <f>D127*E127</f>
        <v>2671.7147898611643</v>
      </c>
      <c r="I127" s="416"/>
      <c r="J127" s="767"/>
    </row>
    <row r="128" spans="1:10" ht="15.75">
      <c r="A128" s="426" t="s">
        <v>185</v>
      </c>
      <c r="B128" s="768" t="s">
        <v>105</v>
      </c>
      <c r="C128" s="409"/>
      <c r="D128" s="787">
        <f>'ESTIMATIVA DE HORAS TÉCNICAS'!F126*'ESTIMATIVA DE HORAS TÉCNICAS'!F$943+'ESTIMATIVA DE HORAS TÉCNICAS'!G126*'ESTIMATIVA DE HORAS TÉCNICAS'!F$942+'ESTIMATIVA DE HORAS TÉCNICAS'!H126*'ESTIMATIVA DE HORAS TÉCNICAS'!F$941+'ESTIMATIVA DE HORAS TÉCNICAS'!I126*'ESTIMATIVA DE HORAS TÉCNICAS'!F$945+'ESTIMATIVA DE HORAS TÉCNICAS'!J126*'ESTIMATIVA DE HORAS TÉCNICAS'!F$946+'ESTIMATIVA DE HORAS TÉCNICAS'!K126*'ESTIMATIVA DE HORAS TÉCNICAS'!$F$944+'ESTIMATIVA DE HORAS TÉCNICAS'!L126*'ESTIMATIVA DE HORAS TÉCNICAS'!F$951+'ESTIMATIVA DE HORAS TÉCNICAS'!M126*'ESTIMATIVA DE HORAS TÉCNICAS'!F$950+'ESTIMATIVA DE HORAS TÉCNICAS'!N126*'ESTIMATIVA DE HORAS TÉCNICAS'!F$949+'ESTIMATIVA DE HORAS TÉCNICAS'!O126*'ESTIMATIVA DE HORAS TÉCNICAS'!F$948+'ESTIMATIVA DE HORAS TÉCNICAS'!P126*'ESTIMATIVA DE HORAS TÉCNICAS'!$F$947+'ESTIMATIVA DE HORAS TÉCNICAS'!Q126*'ESTIMATIVA DE HORAS TÉCNICAS'!F$953+'ESTIMATIVA DE HORAS TÉCNICAS'!R126*'ESTIMATIVA DE HORAS TÉCNICAS'!F$954</f>
        <v>1278.9957970501562</v>
      </c>
      <c r="E128" s="411">
        <f>'CALCULO DO FATO K'!D$10</f>
        <v>2.3175723620309046</v>
      </c>
      <c r="F128" s="714"/>
      <c r="G128" s="714"/>
      <c r="H128" s="411">
        <f>D128*E128</f>
        <v>2964.1653103971298</v>
      </c>
      <c r="I128" s="416">
        <f>SUM(H125:H128)</f>
        <v>10614.314310099458</v>
      </c>
      <c r="J128" s="767"/>
    </row>
    <row r="129" spans="1:10" s="532" customFormat="1" ht="15.75">
      <c r="A129" s="426"/>
      <c r="B129" s="768"/>
      <c r="C129" s="409"/>
      <c r="D129" s="787"/>
      <c r="E129" s="411"/>
      <c r="F129" s="714"/>
      <c r="G129" s="714"/>
      <c r="H129" s="411"/>
      <c r="I129" s="416"/>
      <c r="J129" s="767"/>
    </row>
    <row r="130" spans="1:10" ht="15.75">
      <c r="A130" s="426"/>
      <c r="B130" s="768"/>
      <c r="C130" s="409"/>
      <c r="D130" s="787"/>
      <c r="E130" s="714"/>
      <c r="F130" s="714"/>
      <c r="G130" s="714"/>
      <c r="H130" s="714"/>
      <c r="I130" s="416"/>
      <c r="J130" s="767"/>
    </row>
    <row r="131" spans="1:10" ht="15.75">
      <c r="A131" s="363" t="s">
        <v>186</v>
      </c>
      <c r="B131" s="427" t="s">
        <v>187</v>
      </c>
      <c r="C131" s="474"/>
      <c r="D131" s="480"/>
      <c r="E131" s="475"/>
      <c r="F131" s="475"/>
      <c r="G131" s="475"/>
      <c r="H131" s="475"/>
      <c r="I131" s="476"/>
      <c r="J131" s="767"/>
    </row>
    <row r="132" spans="1:10" ht="15.75">
      <c r="A132" s="426" t="s">
        <v>188</v>
      </c>
      <c r="B132" s="428" t="s">
        <v>99</v>
      </c>
      <c r="C132" s="410"/>
      <c r="D132" s="787">
        <f>'ESTIMATIVA DE HORAS TÉCNICAS'!F130*'ESTIMATIVA DE HORAS TÉCNICAS'!F$943+'ESTIMATIVA DE HORAS TÉCNICAS'!G130*'ESTIMATIVA DE HORAS TÉCNICAS'!F$942+'ESTIMATIVA DE HORAS TÉCNICAS'!H130*'ESTIMATIVA DE HORAS TÉCNICAS'!F$941+'ESTIMATIVA DE HORAS TÉCNICAS'!I130*'ESTIMATIVA DE HORAS TÉCNICAS'!F$945+'ESTIMATIVA DE HORAS TÉCNICAS'!J130*'ESTIMATIVA DE HORAS TÉCNICAS'!F$946+'ESTIMATIVA DE HORAS TÉCNICAS'!K130*'ESTIMATIVA DE HORAS TÉCNICAS'!$F$944+'ESTIMATIVA DE HORAS TÉCNICAS'!L130*'ESTIMATIVA DE HORAS TÉCNICAS'!F$951+'ESTIMATIVA DE HORAS TÉCNICAS'!M130*'ESTIMATIVA DE HORAS TÉCNICAS'!F$950+'ESTIMATIVA DE HORAS TÉCNICAS'!N130*'ESTIMATIVA DE HORAS TÉCNICAS'!F$949+'ESTIMATIVA DE HORAS TÉCNICAS'!O130*'ESTIMATIVA DE HORAS TÉCNICAS'!F$948+'ESTIMATIVA DE HORAS TÉCNICAS'!P130*'ESTIMATIVA DE HORAS TÉCNICAS'!$F$947+'ESTIMATIVA DE HORAS TÉCNICAS'!Q130*'ESTIMATIVA DE HORAS TÉCNICAS'!F$953+'ESTIMATIVA DE HORAS TÉCNICAS'!R130*'ESTIMATIVA DE HORAS TÉCNICAS'!F$954</f>
        <v>928.54397679995407</v>
      </c>
      <c r="E132" s="411">
        <f>'CALCULO DO FATO K'!D$10</f>
        <v>2.3175723620309046</v>
      </c>
      <c r="F132" s="714"/>
      <c r="G132" s="714"/>
      <c r="H132" s="411">
        <f>D132*E132</f>
        <v>2151.9678575618391</v>
      </c>
      <c r="I132" s="416"/>
      <c r="J132" s="767"/>
    </row>
    <row r="133" spans="1:10" ht="15.75">
      <c r="A133" s="426" t="s">
        <v>189</v>
      </c>
      <c r="B133" s="428" t="s">
        <v>135</v>
      </c>
      <c r="C133" s="410"/>
      <c r="D133" s="787">
        <f>'ESTIMATIVA DE HORAS TÉCNICAS'!F131*'ESTIMATIVA DE HORAS TÉCNICAS'!F$943+'ESTIMATIVA DE HORAS TÉCNICAS'!G131*'ESTIMATIVA DE HORAS TÉCNICAS'!F$942+'ESTIMATIVA DE HORAS TÉCNICAS'!H131*'ESTIMATIVA DE HORAS TÉCNICAS'!F$941+'ESTIMATIVA DE HORAS TÉCNICAS'!I131*'ESTIMATIVA DE HORAS TÉCNICAS'!F$945+'ESTIMATIVA DE HORAS TÉCNICAS'!J131*'ESTIMATIVA DE HORAS TÉCNICAS'!F$946+'ESTIMATIVA DE HORAS TÉCNICAS'!K131*'ESTIMATIVA DE HORAS TÉCNICAS'!$F$944+'ESTIMATIVA DE HORAS TÉCNICAS'!L131*'ESTIMATIVA DE HORAS TÉCNICAS'!F$951+'ESTIMATIVA DE HORAS TÉCNICAS'!M131*'ESTIMATIVA DE HORAS TÉCNICAS'!F$950+'ESTIMATIVA DE HORAS TÉCNICAS'!N131*'ESTIMATIVA DE HORAS TÉCNICAS'!F$949+'ESTIMATIVA DE HORAS TÉCNICAS'!O131*'ESTIMATIVA DE HORAS TÉCNICAS'!F$948+'ESTIMATIVA DE HORAS TÉCNICAS'!P131*'ESTIMATIVA DE HORAS TÉCNICAS'!$F$947+'ESTIMATIVA DE HORAS TÉCNICAS'!Q131*'ESTIMATIVA DE HORAS TÉCNICAS'!F$953+'ESTIMATIVA DE HORAS TÉCNICAS'!R131*'ESTIMATIVA DE HORAS TÉCNICAS'!F$954</f>
        <v>802.3556750548945</v>
      </c>
      <c r="E133" s="411">
        <f>'CALCULO DO FATO K'!D$10</f>
        <v>2.3175723620309046</v>
      </c>
      <c r="F133" s="714"/>
      <c r="G133" s="714"/>
      <c r="H133" s="411">
        <f>D133*E133</f>
        <v>1859.5173370258728</v>
      </c>
      <c r="I133" s="416"/>
      <c r="J133" s="767"/>
    </row>
    <row r="134" spans="1:10" ht="15.75">
      <c r="A134" s="426" t="s">
        <v>190</v>
      </c>
      <c r="B134" s="768" t="s">
        <v>112</v>
      </c>
      <c r="C134" s="410"/>
      <c r="D134" s="787">
        <f>'ESTIMATIVA DE HORAS TÉCNICAS'!F132*'ESTIMATIVA DE HORAS TÉCNICAS'!F$943+'ESTIMATIVA DE HORAS TÉCNICAS'!G132*'ESTIMATIVA DE HORAS TÉCNICAS'!F$942+'ESTIMATIVA DE HORAS TÉCNICAS'!H132*'ESTIMATIVA DE HORAS TÉCNICAS'!F$941+'ESTIMATIVA DE HORAS TÉCNICAS'!I132*'ESTIMATIVA DE HORAS TÉCNICAS'!F$945+'ESTIMATIVA DE HORAS TÉCNICAS'!J132*'ESTIMATIVA DE HORAS TÉCNICAS'!F$946+'ESTIMATIVA DE HORAS TÉCNICAS'!K132*'ESTIMATIVA DE HORAS TÉCNICAS'!$F$944+'ESTIMATIVA DE HORAS TÉCNICAS'!L132*'ESTIMATIVA DE HORAS TÉCNICAS'!F$951+'ESTIMATIVA DE HORAS TÉCNICAS'!M132*'ESTIMATIVA DE HORAS TÉCNICAS'!F$950+'ESTIMATIVA DE HORAS TÉCNICAS'!N132*'ESTIMATIVA DE HORAS TÉCNICAS'!F$949+'ESTIMATIVA DE HORAS TÉCNICAS'!O132*'ESTIMATIVA DE HORAS TÉCNICAS'!F$948+'ESTIMATIVA DE HORAS TÉCNICAS'!P132*'ESTIMATIVA DE HORAS TÉCNICAS'!$F$947+'ESTIMATIVA DE HORAS TÉCNICAS'!Q132*'ESTIMATIVA DE HORAS TÉCNICAS'!F$953+'ESTIMATIVA DE HORAS TÉCNICAS'!R132*'ESTIMATIVA DE HORAS TÉCNICAS'!F$954</f>
        <v>944.19501979082418</v>
      </c>
      <c r="E134" s="411">
        <f>'CALCULO DO FATO K'!D$10</f>
        <v>2.3175723620309046</v>
      </c>
      <c r="F134" s="714"/>
      <c r="G134" s="714"/>
      <c r="H134" s="411">
        <f>D134*E134</f>
        <v>2188.240282234437</v>
      </c>
      <c r="I134" s="416"/>
      <c r="J134" s="767"/>
    </row>
    <row r="135" spans="1:10" ht="15.75">
      <c r="A135" s="426" t="s">
        <v>191</v>
      </c>
      <c r="B135" s="768" t="s">
        <v>105</v>
      </c>
      <c r="C135" s="410"/>
      <c r="D135" s="787">
        <f>'ESTIMATIVA DE HORAS TÉCNICAS'!F133*'ESTIMATIVA DE HORAS TÉCNICAS'!F$943+'ESTIMATIVA DE HORAS TÉCNICAS'!G133*'ESTIMATIVA DE HORAS TÉCNICAS'!F$942+'ESTIMATIVA DE HORAS TÉCNICAS'!H133*'ESTIMATIVA DE HORAS TÉCNICAS'!F$941+'ESTIMATIVA DE HORAS TÉCNICAS'!I133*'ESTIMATIVA DE HORAS TÉCNICAS'!F$945+'ESTIMATIVA DE HORAS TÉCNICAS'!J133*'ESTIMATIVA DE HORAS TÉCNICAS'!F$946+'ESTIMATIVA DE HORAS TÉCNICAS'!K133*'ESTIMATIVA DE HORAS TÉCNICAS'!$F$944+'ESTIMATIVA DE HORAS TÉCNICAS'!L133*'ESTIMATIVA DE HORAS TÉCNICAS'!F$951+'ESTIMATIVA DE HORAS TÉCNICAS'!M133*'ESTIMATIVA DE HORAS TÉCNICAS'!F$950+'ESTIMATIVA DE HORAS TÉCNICAS'!N133*'ESTIMATIVA DE HORAS TÉCNICAS'!F$949+'ESTIMATIVA DE HORAS TÉCNICAS'!O133*'ESTIMATIVA DE HORAS TÉCNICAS'!F$948+'ESTIMATIVA DE HORAS TÉCNICAS'!P133*'ESTIMATIVA DE HORAS TÉCNICAS'!$F$947+'ESTIMATIVA DE HORAS TÉCNICAS'!Q133*'ESTIMATIVA DE HORAS TÉCNICAS'!F$953+'ESTIMATIVA DE HORAS TÉCNICAS'!R133*'ESTIMATIVA DE HORAS TÉCNICAS'!F$954</f>
        <v>1399.788418034208</v>
      </c>
      <c r="E135" s="411">
        <f>'CALCULO DO FATO K'!D$10</f>
        <v>2.3175723620309046</v>
      </c>
      <c r="F135" s="714"/>
      <c r="G135" s="714"/>
      <c r="H135" s="411">
        <f>D135*E135</f>
        <v>3244.1109503270427</v>
      </c>
      <c r="I135" s="416">
        <f>SUM(H132:H135)</f>
        <v>9443.8364271491919</v>
      </c>
      <c r="J135" s="767"/>
    </row>
    <row r="136" spans="1:10" s="532" customFormat="1" ht="15.75">
      <c r="A136" s="426"/>
      <c r="B136" s="768"/>
      <c r="C136" s="410"/>
      <c r="D136" s="787"/>
      <c r="E136" s="411"/>
      <c r="F136" s="714"/>
      <c r="G136" s="714"/>
      <c r="H136" s="411"/>
      <c r="I136" s="416"/>
      <c r="J136" s="767"/>
    </row>
    <row r="137" spans="1:10" ht="15.75">
      <c r="A137" s="426"/>
      <c r="B137" s="768"/>
      <c r="C137" s="410"/>
      <c r="D137" s="787"/>
      <c r="E137" s="714"/>
      <c r="F137" s="714"/>
      <c r="G137" s="714"/>
      <c r="H137" s="714"/>
      <c r="I137" s="416"/>
      <c r="J137" s="767"/>
    </row>
    <row r="138" spans="1:10" ht="15.75">
      <c r="A138" s="363" t="s">
        <v>192</v>
      </c>
      <c r="B138" s="418" t="s">
        <v>193</v>
      </c>
      <c r="C138" s="478"/>
      <c r="D138" s="480"/>
      <c r="E138" s="475"/>
      <c r="F138" s="475"/>
      <c r="G138" s="475"/>
      <c r="H138" s="475"/>
      <c r="I138" s="476"/>
      <c r="J138" s="767"/>
    </row>
    <row r="139" spans="1:10" ht="15.75">
      <c r="A139" s="426" t="s">
        <v>194</v>
      </c>
      <c r="B139" s="428" t="s">
        <v>99</v>
      </c>
      <c r="C139" s="410"/>
      <c r="D139" s="787">
        <f>'ESTIMATIVA DE HORAS TÉCNICAS'!F137*'ESTIMATIVA DE HORAS TÉCNICAS'!F$943+'ESTIMATIVA DE HORAS TÉCNICAS'!G137*'ESTIMATIVA DE HORAS TÉCNICAS'!F$942+'ESTIMATIVA DE HORAS TÉCNICAS'!H137*'ESTIMATIVA DE HORAS TÉCNICAS'!F$941+'ESTIMATIVA DE HORAS TÉCNICAS'!I137*'ESTIMATIVA DE HORAS TÉCNICAS'!F$945+'ESTIMATIVA DE HORAS TÉCNICAS'!J137*'ESTIMATIVA DE HORAS TÉCNICAS'!F$946+'ESTIMATIVA DE HORAS TÉCNICAS'!K137*'ESTIMATIVA DE HORAS TÉCNICAS'!$F$944+'ESTIMATIVA DE HORAS TÉCNICAS'!L137*'ESTIMATIVA DE HORAS TÉCNICAS'!F$951+'ESTIMATIVA DE HORAS TÉCNICAS'!M137*'ESTIMATIVA DE HORAS TÉCNICAS'!F$950+'ESTIMATIVA DE HORAS TÉCNICAS'!N137*'ESTIMATIVA DE HORAS TÉCNICAS'!F$949+'ESTIMATIVA DE HORAS TÉCNICAS'!O137*'ESTIMATIVA DE HORAS TÉCNICAS'!F$948+'ESTIMATIVA DE HORAS TÉCNICAS'!P137*'ESTIMATIVA DE HORAS TÉCNICAS'!$F$947+'ESTIMATIVA DE HORAS TÉCNICAS'!Q137*'ESTIMATIVA DE HORAS TÉCNICAS'!F$953+'ESTIMATIVA DE HORAS TÉCNICAS'!R137*'ESTIMATIVA DE HORAS TÉCNICAS'!F$954</f>
        <v>7573.3350918756532</v>
      </c>
      <c r="E139" s="411">
        <f>'CALCULO DO FATO K'!D$10</f>
        <v>2.3175723620309046</v>
      </c>
      <c r="F139" s="714"/>
      <c r="G139" s="714"/>
      <c r="H139" s="411">
        <f>D139*E139</f>
        <v>17551.752097329794</v>
      </c>
      <c r="I139" s="416"/>
      <c r="J139" s="767"/>
    </row>
    <row r="140" spans="1:10" ht="15.75">
      <c r="A140" s="426" t="s">
        <v>195</v>
      </c>
      <c r="B140" s="768" t="s">
        <v>101</v>
      </c>
      <c r="C140" s="410"/>
      <c r="D140" s="787">
        <f>'ESTIMATIVA DE HORAS TÉCNICAS'!F138*'ESTIMATIVA DE HORAS TÉCNICAS'!F$943+'ESTIMATIVA DE HORAS TÉCNICAS'!G138*'ESTIMATIVA DE HORAS TÉCNICAS'!F$942+'ESTIMATIVA DE HORAS TÉCNICAS'!H138*'ESTIMATIVA DE HORAS TÉCNICAS'!F$941+'ESTIMATIVA DE HORAS TÉCNICAS'!I138*'ESTIMATIVA DE HORAS TÉCNICAS'!F$945+'ESTIMATIVA DE HORAS TÉCNICAS'!J138*'ESTIMATIVA DE HORAS TÉCNICAS'!F$946+'ESTIMATIVA DE HORAS TÉCNICAS'!K138*'ESTIMATIVA DE HORAS TÉCNICAS'!$F$944+'ESTIMATIVA DE HORAS TÉCNICAS'!L138*'ESTIMATIVA DE HORAS TÉCNICAS'!F$951+'ESTIMATIVA DE HORAS TÉCNICAS'!M138*'ESTIMATIVA DE HORAS TÉCNICAS'!F$950+'ESTIMATIVA DE HORAS TÉCNICAS'!N138*'ESTIMATIVA DE HORAS TÉCNICAS'!F$949+'ESTIMATIVA DE HORAS TÉCNICAS'!O138*'ESTIMATIVA DE HORAS TÉCNICAS'!F$948+'ESTIMATIVA DE HORAS TÉCNICAS'!P138*'ESTIMATIVA DE HORAS TÉCNICAS'!$F$947+'ESTIMATIVA DE HORAS TÉCNICAS'!Q138*'ESTIMATIVA DE HORAS TÉCNICAS'!F$953+'ESTIMATIVA DE HORAS TÉCNICAS'!R138*'ESTIMATIVA DE HORAS TÉCNICAS'!F$954</f>
        <v>3529.5596064948581</v>
      </c>
      <c r="E140" s="411">
        <f>'CALCULO DO FATO K'!D$10</f>
        <v>2.3175723620309046</v>
      </c>
      <c r="F140" s="714"/>
      <c r="G140" s="714"/>
      <c r="H140" s="411">
        <f>D140*E140</f>
        <v>8180.0097941531585</v>
      </c>
      <c r="I140" s="416"/>
      <c r="J140" s="767"/>
    </row>
    <row r="141" spans="1:10" ht="15.75">
      <c r="A141" s="426" t="s">
        <v>196</v>
      </c>
      <c r="B141" s="768" t="s">
        <v>105</v>
      </c>
      <c r="C141" s="410"/>
      <c r="D141" s="787">
        <f>'ESTIMATIVA DE HORAS TÉCNICAS'!F139*'ESTIMATIVA DE HORAS TÉCNICAS'!F$943+'ESTIMATIVA DE HORAS TÉCNICAS'!G139*'ESTIMATIVA DE HORAS TÉCNICAS'!F$942+'ESTIMATIVA DE HORAS TÉCNICAS'!H139*'ESTIMATIVA DE HORAS TÉCNICAS'!F$941+'ESTIMATIVA DE HORAS TÉCNICAS'!I139*'ESTIMATIVA DE HORAS TÉCNICAS'!F$945+'ESTIMATIVA DE HORAS TÉCNICAS'!J139*'ESTIMATIVA DE HORAS TÉCNICAS'!F$946+'ESTIMATIVA DE HORAS TÉCNICAS'!K139*'ESTIMATIVA DE HORAS TÉCNICAS'!$F$944+'ESTIMATIVA DE HORAS TÉCNICAS'!L139*'ESTIMATIVA DE HORAS TÉCNICAS'!F$951+'ESTIMATIVA DE HORAS TÉCNICAS'!M139*'ESTIMATIVA DE HORAS TÉCNICAS'!F$950+'ESTIMATIVA DE HORAS TÉCNICAS'!N139*'ESTIMATIVA DE HORAS TÉCNICAS'!F$949+'ESTIMATIVA DE HORAS TÉCNICAS'!O139*'ESTIMATIVA DE HORAS TÉCNICAS'!F$948+'ESTIMATIVA DE HORAS TÉCNICAS'!P139*'ESTIMATIVA DE HORAS TÉCNICAS'!$F$947+'ESTIMATIVA DE HORAS TÉCNICAS'!Q139*'ESTIMATIVA DE HORAS TÉCNICAS'!F$953+'ESTIMATIVA DE HORAS TÉCNICAS'!R139*'ESTIMATIVA DE HORAS TÉCNICAS'!F$954</f>
        <v>8779.1202848723024</v>
      </c>
      <c r="E141" s="411">
        <f>'CALCULO DO FATO K'!D$10</f>
        <v>2.3175723620309046</v>
      </c>
      <c r="F141" s="714"/>
      <c r="G141" s="714"/>
      <c r="H141" s="411">
        <f>D141*E141</f>
        <v>20346.24653516493</v>
      </c>
      <c r="I141" s="416">
        <f>SUM(H139:H141)</f>
        <v>46078.008426647881</v>
      </c>
      <c r="J141" s="767"/>
    </row>
    <row r="142" spans="1:10" s="532" customFormat="1" ht="15.75">
      <c r="A142" s="426"/>
      <c r="B142" s="768"/>
      <c r="C142" s="410"/>
      <c r="D142" s="787"/>
      <c r="E142" s="411"/>
      <c r="F142" s="714"/>
      <c r="G142" s="714"/>
      <c r="H142" s="411"/>
      <c r="I142" s="416"/>
      <c r="J142" s="767"/>
    </row>
    <row r="143" spans="1:10" ht="15.75">
      <c r="A143" s="426"/>
      <c r="B143" s="768"/>
      <c r="C143" s="410"/>
      <c r="D143" s="787"/>
      <c r="E143" s="714"/>
      <c r="F143" s="714"/>
      <c r="G143" s="714"/>
      <c r="H143" s="714"/>
      <c r="I143" s="416"/>
      <c r="J143" s="767"/>
    </row>
    <row r="144" spans="1:10" ht="15.75">
      <c r="A144" s="360" t="s">
        <v>197</v>
      </c>
      <c r="B144" s="479" t="s">
        <v>198</v>
      </c>
      <c r="C144" s="478"/>
      <c r="D144" s="480"/>
      <c r="E144" s="475"/>
      <c r="F144" s="475"/>
      <c r="G144" s="475"/>
      <c r="H144" s="475"/>
      <c r="I144" s="476"/>
      <c r="J144" s="767"/>
    </row>
    <row r="145" spans="1:10" ht="15.75">
      <c r="A145" s="426" t="s">
        <v>199</v>
      </c>
      <c r="B145" s="428" t="s">
        <v>99</v>
      </c>
      <c r="C145" s="410"/>
      <c r="D145" s="787">
        <f>'ESTIMATIVA DE HORAS TÉCNICAS'!F143*'ESTIMATIVA DE HORAS TÉCNICAS'!F$943+'ESTIMATIVA DE HORAS TÉCNICAS'!G143*'ESTIMATIVA DE HORAS TÉCNICAS'!F$942+'ESTIMATIVA DE HORAS TÉCNICAS'!H143*'ESTIMATIVA DE HORAS TÉCNICAS'!F$941+'ESTIMATIVA DE HORAS TÉCNICAS'!I143*'ESTIMATIVA DE HORAS TÉCNICAS'!F$945+'ESTIMATIVA DE HORAS TÉCNICAS'!J143*'ESTIMATIVA DE HORAS TÉCNICAS'!F$946+'ESTIMATIVA DE HORAS TÉCNICAS'!K143*'ESTIMATIVA DE HORAS TÉCNICAS'!$F$944+'ESTIMATIVA DE HORAS TÉCNICAS'!L143*'ESTIMATIVA DE HORAS TÉCNICAS'!F$951+'ESTIMATIVA DE HORAS TÉCNICAS'!M143*'ESTIMATIVA DE HORAS TÉCNICAS'!F$950+'ESTIMATIVA DE HORAS TÉCNICAS'!N143*'ESTIMATIVA DE HORAS TÉCNICAS'!F$949+'ESTIMATIVA DE HORAS TÉCNICAS'!O143*'ESTIMATIVA DE HORAS TÉCNICAS'!F$948+'ESTIMATIVA DE HORAS TÉCNICAS'!P143*'ESTIMATIVA DE HORAS TÉCNICAS'!$F$947+'ESTIMATIVA DE HORAS TÉCNICAS'!Q143*'ESTIMATIVA DE HORAS TÉCNICAS'!F$953+'ESTIMATIVA DE HORAS TÉCNICAS'!R143*'ESTIMATIVA DE HORAS TÉCNICAS'!F$954</f>
        <v>2391.8377741823651</v>
      </c>
      <c r="E145" s="411">
        <f>'CALCULO DO FATO K'!D$10</f>
        <v>2.3175723620309046</v>
      </c>
      <c r="F145" s="714"/>
      <c r="G145" s="714"/>
      <c r="H145" s="411">
        <f>D145*E145</f>
        <v>5543.2571199065651</v>
      </c>
      <c r="I145" s="416"/>
      <c r="J145" s="767"/>
    </row>
    <row r="146" spans="1:10" ht="15.75">
      <c r="A146" s="426" t="s">
        <v>200</v>
      </c>
      <c r="B146" s="428" t="s">
        <v>135</v>
      </c>
      <c r="C146" s="410"/>
      <c r="D146" s="787">
        <f>'ESTIMATIVA DE HORAS TÉCNICAS'!F144*'ESTIMATIVA DE HORAS TÉCNICAS'!F$943+'ESTIMATIVA DE HORAS TÉCNICAS'!G144*'ESTIMATIVA DE HORAS TÉCNICAS'!F$942+'ESTIMATIVA DE HORAS TÉCNICAS'!H144*'ESTIMATIVA DE HORAS TÉCNICAS'!F$941+'ESTIMATIVA DE HORAS TÉCNICAS'!I144*'ESTIMATIVA DE HORAS TÉCNICAS'!F$945+'ESTIMATIVA DE HORAS TÉCNICAS'!J144*'ESTIMATIVA DE HORAS TÉCNICAS'!F$946+'ESTIMATIVA DE HORAS TÉCNICAS'!K144*'ESTIMATIVA DE HORAS TÉCNICAS'!$F$944+'ESTIMATIVA DE HORAS TÉCNICAS'!L144*'ESTIMATIVA DE HORAS TÉCNICAS'!F$951+'ESTIMATIVA DE HORAS TÉCNICAS'!M144*'ESTIMATIVA DE HORAS TÉCNICAS'!F$950+'ESTIMATIVA DE HORAS TÉCNICAS'!N144*'ESTIMATIVA DE HORAS TÉCNICAS'!F$949+'ESTIMATIVA DE HORAS TÉCNICAS'!O144*'ESTIMATIVA DE HORAS TÉCNICAS'!F$948+'ESTIMATIVA DE HORAS TÉCNICAS'!P144*'ESTIMATIVA DE HORAS TÉCNICAS'!$F$947+'ESTIMATIVA DE HORAS TÉCNICAS'!Q144*'ESTIMATIVA DE HORAS TÉCNICAS'!F$953+'ESTIMATIVA DE HORAS TÉCNICAS'!R144*'ESTIMATIVA DE HORAS TÉCNICAS'!F$954</f>
        <v>2070.8955041604072</v>
      </c>
      <c r="E146" s="411">
        <f>'CALCULO DO FATO K'!D$10</f>
        <v>2.3175723620309046</v>
      </c>
      <c r="F146" s="714"/>
      <c r="G146" s="714"/>
      <c r="H146" s="411">
        <f>D146*E146</f>
        <v>4799.450185096216</v>
      </c>
      <c r="I146" s="416"/>
      <c r="J146" s="767"/>
    </row>
    <row r="147" spans="1:10" ht="15.75">
      <c r="A147" s="426" t="s">
        <v>201</v>
      </c>
      <c r="B147" s="768" t="s">
        <v>105</v>
      </c>
      <c r="C147" s="410"/>
      <c r="D147" s="787">
        <f>'ESTIMATIVA DE HORAS TÉCNICAS'!F145*'ESTIMATIVA DE HORAS TÉCNICAS'!F$943+'ESTIMATIVA DE HORAS TÉCNICAS'!G145*'ESTIMATIVA DE HORAS TÉCNICAS'!F$942+'ESTIMATIVA DE HORAS TÉCNICAS'!H145*'ESTIMATIVA DE HORAS TÉCNICAS'!F$941+'ESTIMATIVA DE HORAS TÉCNICAS'!I145*'ESTIMATIVA DE HORAS TÉCNICAS'!F$945+'ESTIMATIVA DE HORAS TÉCNICAS'!J145*'ESTIMATIVA DE HORAS TÉCNICAS'!F$946+'ESTIMATIVA DE HORAS TÉCNICAS'!K145*'ESTIMATIVA DE HORAS TÉCNICAS'!$F$944+'ESTIMATIVA DE HORAS TÉCNICAS'!L145*'ESTIMATIVA DE HORAS TÉCNICAS'!F$951+'ESTIMATIVA DE HORAS TÉCNICAS'!M145*'ESTIMATIVA DE HORAS TÉCNICAS'!F$950+'ESTIMATIVA DE HORAS TÉCNICAS'!N145*'ESTIMATIVA DE HORAS TÉCNICAS'!F$949+'ESTIMATIVA DE HORAS TÉCNICAS'!O145*'ESTIMATIVA DE HORAS TÉCNICAS'!F$948+'ESTIMATIVA DE HORAS TÉCNICAS'!P145*'ESTIMATIVA DE HORAS TÉCNICAS'!$F$947+'ESTIMATIVA DE HORAS TÉCNICAS'!Q145*'ESTIMATIVA DE HORAS TÉCNICAS'!F$953+'ESTIMATIVA DE HORAS TÉCNICAS'!R145*'ESTIMATIVA DE HORAS TÉCNICAS'!F$954</f>
        <v>3099.0619285219</v>
      </c>
      <c r="E147" s="411">
        <f>'CALCULO DO FATO K'!D$10</f>
        <v>2.3175723620309046</v>
      </c>
      <c r="F147" s="714"/>
      <c r="G147" s="714"/>
      <c r="H147" s="411">
        <f>D147*E147</f>
        <v>7182.3002737645502</v>
      </c>
      <c r="I147" s="416">
        <f>SUM(H145:H147)</f>
        <v>17525.00757876733</v>
      </c>
      <c r="J147" s="767"/>
    </row>
    <row r="148" spans="1:10" s="532" customFormat="1" ht="15.75">
      <c r="A148" s="426"/>
      <c r="B148" s="768"/>
      <c r="C148" s="410"/>
      <c r="D148" s="787"/>
      <c r="E148" s="411"/>
      <c r="F148" s="714"/>
      <c r="G148" s="714"/>
      <c r="H148" s="411"/>
      <c r="I148" s="416"/>
      <c r="J148" s="767"/>
    </row>
    <row r="149" spans="1:10" ht="15.75">
      <c r="A149" s="426"/>
      <c r="B149" s="768"/>
      <c r="C149" s="409"/>
      <c r="D149" s="787"/>
      <c r="E149" s="714"/>
      <c r="F149" s="714"/>
      <c r="G149" s="714"/>
      <c r="H149" s="714"/>
      <c r="I149" s="416"/>
      <c r="J149" s="767"/>
    </row>
    <row r="150" spans="1:10" ht="15.75">
      <c r="A150" s="363" t="s">
        <v>202</v>
      </c>
      <c r="B150" s="367" t="s">
        <v>203</v>
      </c>
      <c r="C150" s="474"/>
      <c r="D150" s="480"/>
      <c r="E150" s="475"/>
      <c r="F150" s="475"/>
      <c r="G150" s="475"/>
      <c r="H150" s="475"/>
      <c r="I150" s="476"/>
      <c r="J150" s="767"/>
    </row>
    <row r="151" spans="1:10" ht="15.75">
      <c r="A151" s="426" t="s">
        <v>204</v>
      </c>
      <c r="B151" s="428" t="s">
        <v>99</v>
      </c>
      <c r="C151" s="409"/>
      <c r="D151" s="787">
        <f>'ESTIMATIVA DE HORAS TÉCNICAS'!F149*'ESTIMATIVA DE HORAS TÉCNICAS'!F$943+'ESTIMATIVA DE HORAS TÉCNICAS'!G149*'ESTIMATIVA DE HORAS TÉCNICAS'!F$942+'ESTIMATIVA DE HORAS TÉCNICAS'!H149*'ESTIMATIVA DE HORAS TÉCNICAS'!F$941+'ESTIMATIVA DE HORAS TÉCNICAS'!I149*'ESTIMATIVA DE HORAS TÉCNICAS'!F$945+'ESTIMATIVA DE HORAS TÉCNICAS'!J149*'ESTIMATIVA DE HORAS TÉCNICAS'!F$946+'ESTIMATIVA DE HORAS TÉCNICAS'!K149*'ESTIMATIVA DE HORAS TÉCNICAS'!$F$944+'ESTIMATIVA DE HORAS TÉCNICAS'!L149*'ESTIMATIVA DE HORAS TÉCNICAS'!F$951+'ESTIMATIVA DE HORAS TÉCNICAS'!M149*'ESTIMATIVA DE HORAS TÉCNICAS'!F$950+'ESTIMATIVA DE HORAS TÉCNICAS'!N149*'ESTIMATIVA DE HORAS TÉCNICAS'!F$949+'ESTIMATIVA DE HORAS TÉCNICAS'!O149*'ESTIMATIVA DE HORAS TÉCNICAS'!F$948+'ESTIMATIVA DE HORAS TÉCNICAS'!P149*'ESTIMATIVA DE HORAS TÉCNICAS'!$F$947+'ESTIMATIVA DE HORAS TÉCNICAS'!Q149*'ESTIMATIVA DE HORAS TÉCNICAS'!F$953+'ESTIMATIVA DE HORAS TÉCNICAS'!R149*'ESTIMATIVA DE HORAS TÉCNICAS'!F$954</f>
        <v>2054.2925157748764</v>
      </c>
      <c r="E151" s="411">
        <f>'CALCULO DO FATO K'!D$10</f>
        <v>2.3175723620309046</v>
      </c>
      <c r="F151" s="714"/>
      <c r="G151" s="714"/>
      <c r="H151" s="411">
        <f>D151*E151</f>
        <v>4760.9715580867896</v>
      </c>
      <c r="I151" s="416"/>
      <c r="J151" s="767"/>
    </row>
    <row r="152" spans="1:10" ht="15.75">
      <c r="A152" s="426" t="s">
        <v>205</v>
      </c>
      <c r="B152" s="656" t="s">
        <v>135</v>
      </c>
      <c r="C152" s="409"/>
      <c r="D152" s="787">
        <f>'ESTIMATIVA DE HORAS TÉCNICAS'!F150*'ESTIMATIVA DE HORAS TÉCNICAS'!F$943+'ESTIMATIVA DE HORAS TÉCNICAS'!G150*'ESTIMATIVA DE HORAS TÉCNICAS'!F$942+'ESTIMATIVA DE HORAS TÉCNICAS'!H150*'ESTIMATIVA DE HORAS TÉCNICAS'!F$941+'ESTIMATIVA DE HORAS TÉCNICAS'!I150*'ESTIMATIVA DE HORAS TÉCNICAS'!F$945+'ESTIMATIVA DE HORAS TÉCNICAS'!J150*'ESTIMATIVA DE HORAS TÉCNICAS'!F$946+'ESTIMATIVA DE HORAS TÉCNICAS'!K150*'ESTIMATIVA DE HORAS TÉCNICAS'!$F$944+'ESTIMATIVA DE HORAS TÉCNICAS'!L150*'ESTIMATIVA DE HORAS TÉCNICAS'!F$951+'ESTIMATIVA DE HORAS TÉCNICAS'!M150*'ESTIMATIVA DE HORAS TÉCNICAS'!F$950+'ESTIMATIVA DE HORAS TÉCNICAS'!N150*'ESTIMATIVA DE HORAS TÉCNICAS'!F$949+'ESTIMATIVA DE HORAS TÉCNICAS'!O150*'ESTIMATIVA DE HORAS TÉCNICAS'!F$948+'ESTIMATIVA DE HORAS TÉCNICAS'!P150*'ESTIMATIVA DE HORAS TÉCNICAS'!$F$947+'ESTIMATIVA DE HORAS TÉCNICAS'!Q150*'ESTIMATIVA DE HORAS TÉCNICAS'!F$953+'ESTIMATIVA DE HORAS TÉCNICAS'!R150*'ESTIMATIVA DE HORAS TÉCNICAS'!F$954</f>
        <v>1802.4802667283029</v>
      </c>
      <c r="E152" s="411">
        <f>'CALCULO DO FATO K'!D$10</f>
        <v>2.3175723620309046</v>
      </c>
      <c r="F152" s="714"/>
      <c r="G152" s="714"/>
      <c r="H152" s="411">
        <f>D152*E152</f>
        <v>4177.3784492756076</v>
      </c>
      <c r="I152" s="416"/>
      <c r="J152" s="767"/>
    </row>
    <row r="153" spans="1:10" ht="15.75">
      <c r="A153" s="426" t="s">
        <v>206</v>
      </c>
      <c r="B153" s="768" t="s">
        <v>105</v>
      </c>
      <c r="C153" s="409"/>
      <c r="D153" s="787">
        <f>'ESTIMATIVA DE HORAS TÉCNICAS'!F151*'ESTIMATIVA DE HORAS TÉCNICAS'!F$943+'ESTIMATIVA DE HORAS TÉCNICAS'!G151*'ESTIMATIVA DE HORAS TÉCNICAS'!F$942+'ESTIMATIVA DE HORAS TÉCNICAS'!H151*'ESTIMATIVA DE HORAS TÉCNICAS'!F$941+'ESTIMATIVA DE HORAS TÉCNICAS'!I151*'ESTIMATIVA DE HORAS TÉCNICAS'!F$945+'ESTIMATIVA DE HORAS TÉCNICAS'!J151*'ESTIMATIVA DE HORAS TÉCNICAS'!F$946+'ESTIMATIVA DE HORAS TÉCNICAS'!K151*'ESTIMATIVA DE HORAS TÉCNICAS'!$F$944+'ESTIMATIVA DE HORAS TÉCNICAS'!L151*'ESTIMATIVA DE HORAS TÉCNICAS'!F$951+'ESTIMATIVA DE HORAS TÉCNICAS'!M151*'ESTIMATIVA DE HORAS TÉCNICAS'!F$950+'ESTIMATIVA DE HORAS TÉCNICAS'!N151*'ESTIMATIVA DE HORAS TÉCNICAS'!F$949+'ESTIMATIVA DE HORAS TÉCNICAS'!O151*'ESTIMATIVA DE HORAS TÉCNICAS'!F$948+'ESTIMATIVA DE HORAS TÉCNICAS'!P151*'ESTIMATIVA DE HORAS TÉCNICAS'!$F$947+'ESTIMATIVA DE HORAS TÉCNICAS'!Q151*'ESTIMATIVA DE HORAS TÉCNICAS'!F$953+'ESTIMATIVA DE HORAS TÉCNICAS'!R151*'ESTIMATIVA DE HORAS TÉCNICAS'!F$954</f>
        <v>2873.5624434300253</v>
      </c>
      <c r="E153" s="411">
        <f>'CALCULO DO FATO K'!D$10</f>
        <v>2.3175723620309046</v>
      </c>
      <c r="F153" s="714"/>
      <c r="G153" s="714"/>
      <c r="H153" s="411">
        <f>D153*E153</f>
        <v>6659.688899463421</v>
      </c>
      <c r="I153" s="416">
        <f>SUM(H151:H153)</f>
        <v>15598.038906825819</v>
      </c>
      <c r="J153" s="767"/>
    </row>
    <row r="154" spans="1:10" s="532" customFormat="1" ht="15.75">
      <c r="A154" s="426"/>
      <c r="B154" s="768"/>
      <c r="C154" s="409"/>
      <c r="D154" s="787"/>
      <c r="E154" s="411"/>
      <c r="F154" s="714"/>
      <c r="G154" s="714"/>
      <c r="H154" s="411"/>
      <c r="I154" s="416"/>
      <c r="J154" s="767"/>
    </row>
    <row r="155" spans="1:10" ht="15.75">
      <c r="A155" s="426"/>
      <c r="B155" s="768"/>
      <c r="C155" s="409"/>
      <c r="D155" s="787"/>
      <c r="E155" s="714"/>
      <c r="F155" s="714"/>
      <c r="G155" s="714"/>
      <c r="H155" s="714"/>
      <c r="I155" s="416"/>
      <c r="J155" s="767"/>
    </row>
    <row r="156" spans="1:10" ht="15.75">
      <c r="A156" s="363" t="s">
        <v>207</v>
      </c>
      <c r="B156" s="427" t="s">
        <v>208</v>
      </c>
      <c r="C156" s="474"/>
      <c r="D156" s="480"/>
      <c r="E156" s="475"/>
      <c r="F156" s="475"/>
      <c r="G156" s="475"/>
      <c r="H156" s="475"/>
      <c r="I156" s="476"/>
      <c r="J156" s="767"/>
    </row>
    <row r="157" spans="1:10" ht="15.75">
      <c r="A157" s="426" t="s">
        <v>209</v>
      </c>
      <c r="B157" s="428" t="s">
        <v>99</v>
      </c>
      <c r="C157" s="409"/>
      <c r="D157" s="787">
        <f>'ESTIMATIVA DE HORAS TÉCNICAS'!F155*'ESTIMATIVA DE HORAS TÉCNICAS'!F$943+'ESTIMATIVA DE HORAS TÉCNICAS'!G155*'ESTIMATIVA DE HORAS TÉCNICAS'!F$942+'ESTIMATIVA DE HORAS TÉCNICAS'!H155*'ESTIMATIVA DE HORAS TÉCNICAS'!F$941+'ESTIMATIVA DE HORAS TÉCNICAS'!I155*'ESTIMATIVA DE HORAS TÉCNICAS'!F$945+'ESTIMATIVA DE HORAS TÉCNICAS'!J155*'ESTIMATIVA DE HORAS TÉCNICAS'!F$946+'ESTIMATIVA DE HORAS TÉCNICAS'!K155*'ESTIMATIVA DE HORAS TÉCNICAS'!$F$944+'ESTIMATIVA DE HORAS TÉCNICAS'!L155*'ESTIMATIVA DE HORAS TÉCNICAS'!F$951+'ESTIMATIVA DE HORAS TÉCNICAS'!M155*'ESTIMATIVA DE HORAS TÉCNICAS'!F$950+'ESTIMATIVA DE HORAS TÉCNICAS'!N155*'ESTIMATIVA DE HORAS TÉCNICAS'!F$949+'ESTIMATIVA DE HORAS TÉCNICAS'!O155*'ESTIMATIVA DE HORAS TÉCNICAS'!F$948+'ESTIMATIVA DE HORAS TÉCNICAS'!P155*'ESTIMATIVA DE HORAS TÉCNICAS'!$F$947+'ESTIMATIVA DE HORAS TÉCNICAS'!Q155*'ESTIMATIVA DE HORAS TÉCNICAS'!F$953+'ESTIMATIVA DE HORAS TÉCNICAS'!R155*'ESTIMATIVA DE HORAS TÉCNICAS'!F$954</f>
        <v>1123.8736998728768</v>
      </c>
      <c r="E157" s="411">
        <f>'CALCULO DO FATO K'!D$10</f>
        <v>2.3175723620309046</v>
      </c>
      <c r="F157" s="714"/>
      <c r="G157" s="714"/>
      <c r="H157" s="411">
        <f>D157*E157</f>
        <v>2604.6586252387951</v>
      </c>
      <c r="I157" s="416"/>
      <c r="J157" s="767"/>
    </row>
    <row r="158" spans="1:10" ht="15.75">
      <c r="A158" s="426" t="s">
        <v>210</v>
      </c>
      <c r="B158" s="428" t="s">
        <v>135</v>
      </c>
      <c r="C158" s="409"/>
      <c r="D158" s="787">
        <f>'ESTIMATIVA DE HORAS TÉCNICAS'!F156*'ESTIMATIVA DE HORAS TÉCNICAS'!F$943+'ESTIMATIVA DE HORAS TÉCNICAS'!G156*'ESTIMATIVA DE HORAS TÉCNICAS'!F$942+'ESTIMATIVA DE HORAS TÉCNICAS'!H156*'ESTIMATIVA DE HORAS TÉCNICAS'!F$941+'ESTIMATIVA DE HORAS TÉCNICAS'!I156*'ESTIMATIVA DE HORAS TÉCNICAS'!F$945+'ESTIMATIVA DE HORAS TÉCNICAS'!J156*'ESTIMATIVA DE HORAS TÉCNICAS'!F$946+'ESTIMATIVA DE HORAS TÉCNICAS'!K156*'ESTIMATIVA DE HORAS TÉCNICAS'!$F$944+'ESTIMATIVA DE HORAS TÉCNICAS'!L156*'ESTIMATIVA DE HORAS TÉCNICAS'!F$951+'ESTIMATIVA DE HORAS TÉCNICAS'!M156*'ESTIMATIVA DE HORAS TÉCNICAS'!F$950+'ESTIMATIVA DE HORAS TÉCNICAS'!N156*'ESTIMATIVA DE HORAS TÉCNICAS'!F$949+'ESTIMATIVA DE HORAS TÉCNICAS'!O156*'ESTIMATIVA DE HORAS TÉCNICAS'!F$948+'ESTIMATIVA DE HORAS TÉCNICAS'!P156*'ESTIMATIVA DE HORAS TÉCNICAS'!$F$947+'ESTIMATIVA DE HORAS TÉCNICAS'!Q156*'ESTIMATIVA DE HORAS TÉCNICAS'!F$953+'ESTIMATIVA DE HORAS TÉCNICAS'!R156*'ESTIMATIVA DE HORAS TÉCNICAS'!F$954</f>
        <v>855.84605339188761</v>
      </c>
      <c r="E158" s="411">
        <f>'CALCULO DO FATO K'!D$10</f>
        <v>2.3175723620309046</v>
      </c>
      <c r="F158" s="714"/>
      <c r="G158" s="714"/>
      <c r="H158" s="411">
        <f>D158*E158</f>
        <v>1983.4851594942645</v>
      </c>
      <c r="I158" s="416"/>
      <c r="J158" s="767"/>
    </row>
    <row r="159" spans="1:10" ht="15.75">
      <c r="A159" s="426" t="s">
        <v>211</v>
      </c>
      <c r="B159" s="768" t="s">
        <v>105</v>
      </c>
      <c r="C159" s="409"/>
      <c r="D159" s="787">
        <f>'ESTIMATIVA DE HORAS TÉCNICAS'!F157*'ESTIMATIVA DE HORAS TÉCNICAS'!F$943+'ESTIMATIVA DE HORAS TÉCNICAS'!G157*'ESTIMATIVA DE HORAS TÉCNICAS'!F$942+'ESTIMATIVA DE HORAS TÉCNICAS'!H157*'ESTIMATIVA DE HORAS TÉCNICAS'!F$941+'ESTIMATIVA DE HORAS TÉCNICAS'!I157*'ESTIMATIVA DE HORAS TÉCNICAS'!F$945+'ESTIMATIVA DE HORAS TÉCNICAS'!J157*'ESTIMATIVA DE HORAS TÉCNICAS'!F$946+'ESTIMATIVA DE HORAS TÉCNICAS'!K157*'ESTIMATIVA DE HORAS TÉCNICAS'!$F$944+'ESTIMATIVA DE HORAS TÉCNICAS'!L157*'ESTIMATIVA DE HORAS TÉCNICAS'!F$951+'ESTIMATIVA DE HORAS TÉCNICAS'!M157*'ESTIMATIVA DE HORAS TÉCNICAS'!F$950+'ESTIMATIVA DE HORAS TÉCNICAS'!N157*'ESTIMATIVA DE HORAS TÉCNICAS'!F$949+'ESTIMATIVA DE HORAS TÉCNICAS'!O157*'ESTIMATIVA DE HORAS TÉCNICAS'!F$948+'ESTIMATIVA DE HORAS TÉCNICAS'!P157*'ESTIMATIVA DE HORAS TÉCNICAS'!$F$947+'ESTIMATIVA DE HORAS TÉCNICAS'!Q157*'ESTIMATIVA DE HORAS TÉCNICAS'!F$953+'ESTIMATIVA DE HORAS TÉCNICAS'!R157*'ESTIMATIVA DE HORAS TÉCNICAS'!F$954</f>
        <v>982.03435513694717</v>
      </c>
      <c r="E159" s="411">
        <f>'CALCULO DO FATO K'!D$10</f>
        <v>2.3175723620309046</v>
      </c>
      <c r="F159" s="714"/>
      <c r="G159" s="714"/>
      <c r="H159" s="411">
        <f>D159*E159</f>
        <v>2275.9356800302307</v>
      </c>
      <c r="I159" s="416"/>
      <c r="J159" s="767"/>
    </row>
    <row r="160" spans="1:10" ht="15.75">
      <c r="A160" s="426" t="s">
        <v>212</v>
      </c>
      <c r="B160" s="768" t="s">
        <v>213</v>
      </c>
      <c r="C160" s="409"/>
      <c r="D160" s="787">
        <f>'ESTIMATIVA DE HORAS TÉCNICAS'!F158*'ESTIMATIVA DE HORAS TÉCNICAS'!F$943+'ESTIMATIVA DE HORAS TÉCNICAS'!G158*'ESTIMATIVA DE HORAS TÉCNICAS'!F$942+'ESTIMATIVA DE HORAS TÉCNICAS'!H158*'ESTIMATIVA DE HORAS TÉCNICAS'!F$941+'ESTIMATIVA DE HORAS TÉCNICAS'!I158*'ESTIMATIVA DE HORAS TÉCNICAS'!F$945+'ESTIMATIVA DE HORAS TÉCNICAS'!J158*'ESTIMATIVA DE HORAS TÉCNICAS'!F$946+'ESTIMATIVA DE HORAS TÉCNICAS'!K158*'ESTIMATIVA DE HORAS TÉCNICAS'!$F$944+'ESTIMATIVA DE HORAS TÉCNICAS'!L158*'ESTIMATIVA DE HORAS TÉCNICAS'!F$951+'ESTIMATIVA DE HORAS TÉCNICAS'!M158*'ESTIMATIVA DE HORAS TÉCNICAS'!F$950+'ESTIMATIVA DE HORAS TÉCNICAS'!N158*'ESTIMATIVA DE HORAS TÉCNICAS'!F$949+'ESTIMATIVA DE HORAS TÉCNICAS'!O158*'ESTIMATIVA DE HORAS TÉCNICAS'!F$948+'ESTIMATIVA DE HORAS TÉCNICAS'!P158*'ESTIMATIVA DE HORAS TÉCNICAS'!$F$947+'ESTIMATIVA DE HORAS TÉCNICAS'!Q158*'ESTIMATIVA DE HORAS TÉCNICAS'!F$953+'ESTIMATIVA DE HORAS TÉCNICAS'!R158*'ESTIMATIVA DE HORAS TÉCNICAS'!F$954</f>
        <v>997.68539812781739</v>
      </c>
      <c r="E160" s="411">
        <f>'CALCULO DO FATO K'!D$10</f>
        <v>2.3175723620309046</v>
      </c>
      <c r="F160" s="714"/>
      <c r="G160" s="714"/>
      <c r="H160" s="411">
        <f>D160*E160</f>
        <v>2312.2081047028291</v>
      </c>
      <c r="I160" s="416"/>
      <c r="J160" s="767"/>
    </row>
    <row r="161" spans="1:10" ht="15.75">
      <c r="A161" s="426" t="s">
        <v>214</v>
      </c>
      <c r="B161" s="768" t="s">
        <v>152</v>
      </c>
      <c r="C161" s="409"/>
      <c r="D161" s="787">
        <f>'ESTIMATIVA DE HORAS TÉCNICAS'!F159*'ESTIMATIVA DE HORAS TÉCNICAS'!F$943+'ESTIMATIVA DE HORAS TÉCNICAS'!G159*'ESTIMATIVA DE HORAS TÉCNICAS'!F$942+'ESTIMATIVA DE HORAS TÉCNICAS'!H159*'ESTIMATIVA DE HORAS TÉCNICAS'!F$941+'ESTIMATIVA DE HORAS TÉCNICAS'!I159*'ESTIMATIVA DE HORAS TÉCNICAS'!F$945+'ESTIMATIVA DE HORAS TÉCNICAS'!J159*'ESTIMATIVA DE HORAS TÉCNICAS'!F$946+'ESTIMATIVA DE HORAS TÉCNICAS'!K159*'ESTIMATIVA DE HORAS TÉCNICAS'!$F$944+'ESTIMATIVA DE HORAS TÉCNICAS'!L159*'ESTIMATIVA DE HORAS TÉCNICAS'!F$951+'ESTIMATIVA DE HORAS TÉCNICAS'!M159*'ESTIMATIVA DE HORAS TÉCNICAS'!F$950+'ESTIMATIVA DE HORAS TÉCNICAS'!N159*'ESTIMATIVA DE HORAS TÉCNICAS'!F$949+'ESTIMATIVA DE HORAS TÉCNICAS'!O159*'ESTIMATIVA DE HORAS TÉCNICAS'!F$948+'ESTIMATIVA DE HORAS TÉCNICAS'!P159*'ESTIMATIVA DE HORAS TÉCNICAS'!$F$947+'ESTIMATIVA DE HORAS TÉCNICAS'!Q159*'ESTIMATIVA DE HORAS TÉCNICAS'!F$953+'ESTIMATIVA DE HORAS TÉCNICAS'!R159*'ESTIMATIVA DE HORAS TÉCNICAS'!F$954</f>
        <v>855.84605339188761</v>
      </c>
      <c r="E161" s="411">
        <f>'CALCULO DO FATO K'!D$10</f>
        <v>2.3175723620309046</v>
      </c>
      <c r="F161" s="714"/>
      <c r="G161" s="714"/>
      <c r="H161" s="411">
        <f>D161*E161</f>
        <v>1983.4851594942645</v>
      </c>
      <c r="I161" s="416">
        <f>SUM(H157:H161)</f>
        <v>11159.772728960384</v>
      </c>
      <c r="J161" s="767"/>
    </row>
    <row r="162" spans="1:10" s="532" customFormat="1" ht="15.75">
      <c r="A162" s="426"/>
      <c r="B162" s="768"/>
      <c r="C162" s="409"/>
      <c r="D162" s="787"/>
      <c r="E162" s="411"/>
      <c r="F162" s="714"/>
      <c r="G162" s="714"/>
      <c r="H162" s="411"/>
      <c r="I162" s="416"/>
      <c r="J162" s="767"/>
    </row>
    <row r="163" spans="1:10" ht="15.75">
      <c r="A163" s="426"/>
      <c r="B163" s="768"/>
      <c r="C163" s="409"/>
      <c r="D163" s="787"/>
      <c r="E163" s="714"/>
      <c r="F163" s="714"/>
      <c r="G163" s="714"/>
      <c r="H163" s="714"/>
      <c r="I163" s="416"/>
      <c r="J163" s="767"/>
    </row>
    <row r="164" spans="1:10" ht="15.75">
      <c r="A164" s="363" t="s">
        <v>215</v>
      </c>
      <c r="B164" s="427" t="s">
        <v>216</v>
      </c>
      <c r="C164" s="474"/>
      <c r="D164" s="480"/>
      <c r="E164" s="475"/>
      <c r="F164" s="475"/>
      <c r="G164" s="475"/>
      <c r="H164" s="475"/>
      <c r="I164" s="476"/>
      <c r="J164" s="767"/>
    </row>
    <row r="165" spans="1:10" ht="15.75">
      <c r="A165" s="433" t="s">
        <v>217</v>
      </c>
      <c r="B165" s="428" t="s">
        <v>99</v>
      </c>
      <c r="C165" s="409"/>
      <c r="D165" s="787">
        <f>'ESTIMATIVA DE HORAS TÉCNICAS'!F163*'ESTIMATIVA DE HORAS TÉCNICAS'!F$943+'ESTIMATIVA DE HORAS TÉCNICAS'!G163*'ESTIMATIVA DE HORAS TÉCNICAS'!F$942+'ESTIMATIVA DE HORAS TÉCNICAS'!H163*'ESTIMATIVA DE HORAS TÉCNICAS'!F$941+'ESTIMATIVA DE HORAS TÉCNICAS'!I163*'ESTIMATIVA DE HORAS TÉCNICAS'!F$945+'ESTIMATIVA DE HORAS TÉCNICAS'!J163*'ESTIMATIVA DE HORAS TÉCNICAS'!F$946+'ESTIMATIVA DE HORAS TÉCNICAS'!K163*'ESTIMATIVA DE HORAS TÉCNICAS'!$F$944+'ESTIMATIVA DE HORAS TÉCNICAS'!L163*'ESTIMATIVA DE HORAS TÉCNICAS'!F$951+'ESTIMATIVA DE HORAS TÉCNICAS'!M163*'ESTIMATIVA DE HORAS TÉCNICAS'!F$950+'ESTIMATIVA DE HORAS TÉCNICAS'!N163*'ESTIMATIVA DE HORAS TÉCNICAS'!F$949+'ESTIMATIVA DE HORAS TÉCNICAS'!O163*'ESTIMATIVA DE HORAS TÉCNICAS'!F$948+'ESTIMATIVA DE HORAS TÉCNICAS'!P163*'ESTIMATIVA DE HORAS TÉCNICAS'!$F$947+'ESTIMATIVA DE HORAS TÉCNICAS'!Q163*'ESTIMATIVA DE HORAS TÉCNICAS'!F$953+'ESTIMATIVA DE HORAS TÉCNICAS'!R163*'ESTIMATIVA DE HORAS TÉCNICAS'!F$954</f>
        <v>642.46029483993993</v>
      </c>
      <c r="E165" s="411">
        <f>'CALCULO DO FATO K'!D$10</f>
        <v>2.3175723620309046</v>
      </c>
      <c r="F165" s="714"/>
      <c r="G165" s="714"/>
      <c r="H165" s="411">
        <f>D165*E165</f>
        <v>1488.9482230232709</v>
      </c>
      <c r="I165" s="416"/>
      <c r="J165" s="767"/>
    </row>
    <row r="166" spans="1:10" ht="15.75">
      <c r="A166" s="433" t="s">
        <v>218</v>
      </c>
      <c r="B166" s="768" t="s">
        <v>101</v>
      </c>
      <c r="C166" s="409"/>
      <c r="D166" s="787">
        <f>'ESTIMATIVA DE HORAS TÉCNICAS'!F164*'ESTIMATIVA DE HORAS TÉCNICAS'!F$943+'ESTIMATIVA DE HORAS TÉCNICAS'!G164*'ESTIMATIVA DE HORAS TÉCNICAS'!F$942+'ESTIMATIVA DE HORAS TÉCNICAS'!H164*'ESTIMATIVA DE HORAS TÉCNICAS'!F$941+'ESTIMATIVA DE HORAS TÉCNICAS'!I164*'ESTIMATIVA DE HORAS TÉCNICAS'!F$945+'ESTIMATIVA DE HORAS TÉCNICAS'!J164*'ESTIMATIVA DE HORAS TÉCNICAS'!F$946+'ESTIMATIVA DE HORAS TÉCNICAS'!K164*'ESTIMATIVA DE HORAS TÉCNICAS'!$F$944+'ESTIMATIVA DE HORAS TÉCNICAS'!L164*'ESTIMATIVA DE HORAS TÉCNICAS'!F$951+'ESTIMATIVA DE HORAS TÉCNICAS'!M164*'ESTIMATIVA DE HORAS TÉCNICAS'!F$950+'ESTIMATIVA DE HORAS TÉCNICAS'!N164*'ESTIMATIVA DE HORAS TÉCNICAS'!F$949+'ESTIMATIVA DE HORAS TÉCNICAS'!O164*'ESTIMATIVA DE HORAS TÉCNICAS'!F$948+'ESTIMATIVA DE HORAS TÉCNICAS'!P164*'ESTIMATIVA DE HORAS TÉCNICAS'!$F$947+'ESTIMATIVA DE HORAS TÉCNICAS'!Q164*'ESTIMATIVA DE HORAS TÉCNICAS'!F$953+'ESTIMATIVA DE HORAS TÉCNICAS'!R164*'ESTIMATIVA DE HORAS TÉCNICAS'!F$954</f>
        <v>374.43264835895076</v>
      </c>
      <c r="E166" s="411">
        <f>'CALCULO DO FATO K'!D$10</f>
        <v>2.3175723620309046</v>
      </c>
      <c r="F166" s="714"/>
      <c r="G166" s="714"/>
      <c r="H166" s="411">
        <f>D166*E166</f>
        <v>867.77475727874059</v>
      </c>
      <c r="I166" s="416"/>
      <c r="J166" s="767"/>
    </row>
    <row r="167" spans="1:10" s="368" customFormat="1" ht="15.75">
      <c r="A167" s="433" t="s">
        <v>219</v>
      </c>
      <c r="B167" s="768" t="s">
        <v>152</v>
      </c>
      <c r="C167" s="409"/>
      <c r="D167" s="787">
        <f>'ESTIMATIVA DE HORAS TÉCNICAS'!F165*'ESTIMATIVA DE HORAS TÉCNICAS'!F$943+'ESTIMATIVA DE HORAS TÉCNICAS'!G165*'ESTIMATIVA DE HORAS TÉCNICAS'!F$942+'ESTIMATIVA DE HORAS TÉCNICAS'!H165*'ESTIMATIVA DE HORAS TÉCNICAS'!F$941+'ESTIMATIVA DE HORAS TÉCNICAS'!I165*'ESTIMATIVA DE HORAS TÉCNICAS'!F$945+'ESTIMATIVA DE HORAS TÉCNICAS'!J165*'ESTIMATIVA DE HORAS TÉCNICAS'!F$946+'ESTIMATIVA DE HORAS TÉCNICAS'!K165*'ESTIMATIVA DE HORAS TÉCNICAS'!$F$944+'ESTIMATIVA DE HORAS TÉCNICAS'!L165*'ESTIMATIVA DE HORAS TÉCNICAS'!F$951+'ESTIMATIVA DE HORAS TÉCNICAS'!M165*'ESTIMATIVA DE HORAS TÉCNICAS'!F$950+'ESTIMATIVA DE HORAS TÉCNICAS'!N165*'ESTIMATIVA DE HORAS TÉCNICAS'!F$949+'ESTIMATIVA DE HORAS TÉCNICAS'!O165*'ESTIMATIVA DE HORAS TÉCNICAS'!F$948+'ESTIMATIVA DE HORAS TÉCNICAS'!P165*'ESTIMATIVA DE HORAS TÉCNICAS'!$F$947+'ESTIMATIVA DE HORAS TÉCNICAS'!Q165*'ESTIMATIVA DE HORAS TÉCNICAS'!F$953+'ESTIMATIVA DE HORAS TÉCNICAS'!R165*'ESTIMATIVA DE HORAS TÉCNICAS'!F$954</f>
        <v>374.43264835895076</v>
      </c>
      <c r="E167" s="411">
        <f>'CALCULO DO FATO K'!D$10</f>
        <v>2.3175723620309046</v>
      </c>
      <c r="F167" s="714"/>
      <c r="G167" s="714"/>
      <c r="H167" s="411">
        <f>D167*E167</f>
        <v>867.77475727874059</v>
      </c>
      <c r="I167" s="416"/>
      <c r="J167" s="767"/>
    </row>
    <row r="168" spans="1:10" ht="15.75">
      <c r="A168" s="433" t="s">
        <v>220</v>
      </c>
      <c r="B168" s="768" t="s">
        <v>105</v>
      </c>
      <c r="C168" s="409"/>
      <c r="D168" s="787">
        <f>'ESTIMATIVA DE HORAS TÉCNICAS'!F166*'ESTIMATIVA DE HORAS TÉCNICAS'!F$943+'ESTIMATIVA DE HORAS TÉCNICAS'!G166*'ESTIMATIVA DE HORAS TÉCNICAS'!F$942+'ESTIMATIVA DE HORAS TÉCNICAS'!H166*'ESTIMATIVA DE HORAS TÉCNICAS'!F$941+'ESTIMATIVA DE HORAS TÉCNICAS'!I166*'ESTIMATIVA DE HORAS TÉCNICAS'!F$945+'ESTIMATIVA DE HORAS TÉCNICAS'!J166*'ESTIMATIVA DE HORAS TÉCNICAS'!F$946+'ESTIMATIVA DE HORAS TÉCNICAS'!K166*'ESTIMATIVA DE HORAS TÉCNICAS'!$F$944+'ESTIMATIVA DE HORAS TÉCNICAS'!L166*'ESTIMATIVA DE HORAS TÉCNICAS'!F$951+'ESTIMATIVA DE HORAS TÉCNICAS'!M166*'ESTIMATIVA DE HORAS TÉCNICAS'!F$950+'ESTIMATIVA DE HORAS TÉCNICAS'!N166*'ESTIMATIVA DE HORAS TÉCNICAS'!F$949+'ESTIMATIVA DE HORAS TÉCNICAS'!O166*'ESTIMATIVA DE HORAS TÉCNICAS'!F$948+'ESTIMATIVA DE HORAS TÉCNICAS'!P166*'ESTIMATIVA DE HORAS TÉCNICAS'!$F$947+'ESTIMATIVA DE HORAS TÉCNICAS'!Q166*'ESTIMATIVA DE HORAS TÉCNICAS'!F$953+'ESTIMATIVA DE HORAS TÉCNICAS'!R166*'ESTIMATIVA DE HORAS TÉCNICAS'!F$954</f>
        <v>1301.2704878365887</v>
      </c>
      <c r="E168" s="411">
        <f>'CALCULO DO FATO K'!D$10</f>
        <v>2.3175723620309046</v>
      </c>
      <c r="F168" s="714"/>
      <c r="G168" s="714"/>
      <c r="H168" s="411">
        <f>D168*E168</f>
        <v>3015.7885181365505</v>
      </c>
      <c r="I168" s="416">
        <f>SUM(H165:H168)</f>
        <v>6240.286255717303</v>
      </c>
      <c r="J168" s="767"/>
    </row>
    <row r="169" spans="1:10" s="532" customFormat="1" ht="15.75">
      <c r="A169" s="433"/>
      <c r="B169" s="768"/>
      <c r="C169" s="409"/>
      <c r="D169" s="787"/>
      <c r="E169" s="411"/>
      <c r="F169" s="714"/>
      <c r="G169" s="714"/>
      <c r="H169" s="411"/>
      <c r="I169" s="416"/>
      <c r="J169" s="767"/>
    </row>
    <row r="170" spans="1:10" ht="15.75">
      <c r="A170" s="426"/>
      <c r="B170" s="768"/>
      <c r="C170" s="409"/>
      <c r="D170" s="787"/>
      <c r="E170" s="411"/>
      <c r="F170" s="714"/>
      <c r="G170" s="714"/>
      <c r="H170" s="411"/>
      <c r="I170" s="416"/>
      <c r="J170" s="767"/>
    </row>
    <row r="171" spans="1:10" ht="15.75">
      <c r="A171" s="363" t="s">
        <v>221</v>
      </c>
      <c r="B171" s="427" t="s">
        <v>222</v>
      </c>
      <c r="C171" s="474"/>
      <c r="D171" s="480"/>
      <c r="E171" s="475"/>
      <c r="F171" s="475"/>
      <c r="G171" s="475"/>
      <c r="H171" s="475"/>
      <c r="I171" s="476"/>
      <c r="J171" s="767"/>
    </row>
    <row r="172" spans="1:10" ht="15.75">
      <c r="A172" s="433" t="s">
        <v>223</v>
      </c>
      <c r="B172" s="428" t="s">
        <v>99</v>
      </c>
      <c r="C172" s="409"/>
      <c r="D172" s="787">
        <f>'ESTIMATIVA DE HORAS TÉCNICAS'!F170*'ESTIMATIVA DE HORAS TÉCNICAS'!F$943+'ESTIMATIVA DE HORAS TÉCNICAS'!G170*'ESTIMATIVA DE HORAS TÉCNICAS'!F$942+'ESTIMATIVA DE HORAS TÉCNICAS'!H170*'ESTIMATIVA DE HORAS TÉCNICAS'!F$941+'ESTIMATIVA DE HORAS TÉCNICAS'!I170*'ESTIMATIVA DE HORAS TÉCNICAS'!F$945+'ESTIMATIVA DE HORAS TÉCNICAS'!J170*'ESTIMATIVA DE HORAS TÉCNICAS'!F$946+'ESTIMATIVA DE HORAS TÉCNICAS'!K170*'ESTIMATIVA DE HORAS TÉCNICAS'!$F$944+'ESTIMATIVA DE HORAS TÉCNICAS'!L170*'ESTIMATIVA DE HORAS TÉCNICAS'!F$951+'ESTIMATIVA DE HORAS TÉCNICAS'!M170*'ESTIMATIVA DE HORAS TÉCNICAS'!F$950+'ESTIMATIVA DE HORAS TÉCNICAS'!N170*'ESTIMATIVA DE HORAS TÉCNICAS'!F$949+'ESTIMATIVA DE HORAS TÉCNICAS'!O170*'ESTIMATIVA DE HORAS TÉCNICAS'!F$948+'ESTIMATIVA DE HORAS TÉCNICAS'!P170*'ESTIMATIVA DE HORAS TÉCNICAS'!$F$947+'ESTIMATIVA DE HORAS TÉCNICAS'!Q170*'ESTIMATIVA DE HORAS TÉCNICAS'!F$953+'ESTIMATIVA DE HORAS TÉCNICAS'!R170*'ESTIMATIVA DE HORAS TÉCNICAS'!F$954</f>
        <v>642.32597815786437</v>
      </c>
      <c r="E172" s="411">
        <f>'CALCULO DO FATO K'!D$10</f>
        <v>2.3175723620309046</v>
      </c>
      <c r="F172" s="714"/>
      <c r="G172" s="714"/>
      <c r="H172" s="411">
        <f t="shared" ref="H172:H177" si="4">D172*E172</f>
        <v>1488.6369343931328</v>
      </c>
      <c r="I172" s="416"/>
      <c r="J172" s="767"/>
    </row>
    <row r="173" spans="1:10" ht="15.75">
      <c r="A173" s="433" t="s">
        <v>224</v>
      </c>
      <c r="B173" s="768" t="s">
        <v>101</v>
      </c>
      <c r="C173" s="409"/>
      <c r="D173" s="787">
        <f>'ESTIMATIVA DE HORAS TÉCNICAS'!F171*'ESTIMATIVA DE HORAS TÉCNICAS'!F$943+'ESTIMATIVA DE HORAS TÉCNICAS'!G171*'ESTIMATIVA DE HORAS TÉCNICAS'!F$942+'ESTIMATIVA DE HORAS TÉCNICAS'!H171*'ESTIMATIVA DE HORAS TÉCNICAS'!F$941+'ESTIMATIVA DE HORAS TÉCNICAS'!I171*'ESTIMATIVA DE HORAS TÉCNICAS'!F$945+'ESTIMATIVA DE HORAS TÉCNICAS'!J171*'ESTIMATIVA DE HORAS TÉCNICAS'!F$946+'ESTIMATIVA DE HORAS TÉCNICAS'!K171*'ESTIMATIVA DE HORAS TÉCNICAS'!$F$944+'ESTIMATIVA DE HORAS TÉCNICAS'!L171*'ESTIMATIVA DE HORAS TÉCNICAS'!F$951+'ESTIMATIVA DE HORAS TÉCNICAS'!M171*'ESTIMATIVA DE HORAS TÉCNICAS'!F$950+'ESTIMATIVA DE HORAS TÉCNICAS'!N171*'ESTIMATIVA DE HORAS TÉCNICAS'!F$949+'ESTIMATIVA DE HORAS TÉCNICAS'!O171*'ESTIMATIVA DE HORAS TÉCNICAS'!F$948+'ESTIMATIVA DE HORAS TÉCNICAS'!P171*'ESTIMATIVA DE HORAS TÉCNICAS'!$F$947+'ESTIMATIVA DE HORAS TÉCNICAS'!Q171*'ESTIMATIVA DE HORAS TÉCNICAS'!F$953+'ESTIMATIVA DE HORAS TÉCNICAS'!R171*'ESTIMATIVA DE HORAS TÉCNICAS'!F$954</f>
        <v>186.41561157979893</v>
      </c>
      <c r="E173" s="411">
        <f>'CALCULO DO FATO K'!D$10</f>
        <v>2.3175723620309046</v>
      </c>
      <c r="F173" s="714"/>
      <c r="G173" s="714"/>
      <c r="H173" s="411">
        <f t="shared" si="4"/>
        <v>432.03166924843026</v>
      </c>
      <c r="I173" s="416"/>
      <c r="J173" s="767"/>
    </row>
    <row r="174" spans="1:10" ht="15.75">
      <c r="A174" s="433" t="s">
        <v>225</v>
      </c>
      <c r="B174" s="768" t="s">
        <v>105</v>
      </c>
      <c r="C174" s="409"/>
      <c r="D174" s="787">
        <f>'ESTIMATIVA DE HORAS TÉCNICAS'!F172*'ESTIMATIVA DE HORAS TÉCNICAS'!F$943+'ESTIMATIVA DE HORAS TÉCNICAS'!G172*'ESTIMATIVA DE HORAS TÉCNICAS'!F$942+'ESTIMATIVA DE HORAS TÉCNICAS'!H172*'ESTIMATIVA DE HORAS TÉCNICAS'!F$941+'ESTIMATIVA DE HORAS TÉCNICAS'!I172*'ESTIMATIVA DE HORAS TÉCNICAS'!F$945+'ESTIMATIVA DE HORAS TÉCNICAS'!J172*'ESTIMATIVA DE HORAS TÉCNICAS'!F$946+'ESTIMATIVA DE HORAS TÉCNICAS'!K172*'ESTIMATIVA DE HORAS TÉCNICAS'!$F$944+'ESTIMATIVA DE HORAS TÉCNICAS'!L172*'ESTIMATIVA DE HORAS TÉCNICAS'!F$951+'ESTIMATIVA DE HORAS TÉCNICAS'!M172*'ESTIMATIVA DE HORAS TÉCNICAS'!F$950+'ESTIMATIVA DE HORAS TÉCNICAS'!N172*'ESTIMATIVA DE HORAS TÉCNICAS'!F$949+'ESTIMATIVA DE HORAS TÉCNICAS'!O172*'ESTIMATIVA DE HORAS TÉCNICAS'!F$948+'ESTIMATIVA DE HORAS TÉCNICAS'!P172*'ESTIMATIVA DE HORAS TÉCNICAS'!$F$947+'ESTIMATIVA DE HORAS TÉCNICAS'!Q172*'ESTIMATIVA DE HORAS TÉCNICAS'!F$953+'ESTIMATIVA DE HORAS TÉCNICAS'!R172*'ESTIMATIVA DE HORAS TÉCNICAS'!F$954</f>
        <v>1271.3991894718597</v>
      </c>
      <c r="E174" s="411">
        <f>'CALCULO DO FATO K'!D$10</f>
        <v>2.3175723620309046</v>
      </c>
      <c r="F174" s="714"/>
      <c r="G174" s="714"/>
      <c r="H174" s="411">
        <f t="shared" si="4"/>
        <v>2946.5596226284756</v>
      </c>
      <c r="I174" s="416"/>
      <c r="J174" s="767"/>
    </row>
    <row r="175" spans="1:10" ht="15.75">
      <c r="A175" s="433" t="s">
        <v>226</v>
      </c>
      <c r="B175" s="768" t="s">
        <v>213</v>
      </c>
      <c r="C175" s="409"/>
      <c r="D175" s="787">
        <f>'ESTIMATIVA DE HORAS TÉCNICAS'!F173*'ESTIMATIVA DE HORAS TÉCNICAS'!F$943+'ESTIMATIVA DE HORAS TÉCNICAS'!G173*'ESTIMATIVA DE HORAS TÉCNICAS'!F$942+'ESTIMATIVA DE HORAS TÉCNICAS'!H173*'ESTIMATIVA DE HORAS TÉCNICAS'!F$941+'ESTIMATIVA DE HORAS TÉCNICAS'!I173*'ESTIMATIVA DE HORAS TÉCNICAS'!F$945+'ESTIMATIVA DE HORAS TÉCNICAS'!J173*'ESTIMATIVA DE HORAS TÉCNICAS'!F$946+'ESTIMATIVA DE HORAS TÉCNICAS'!K173*'ESTIMATIVA DE HORAS TÉCNICAS'!$F$944+'ESTIMATIVA DE HORAS TÉCNICAS'!L173*'ESTIMATIVA DE HORAS TÉCNICAS'!F$951+'ESTIMATIVA DE HORAS TÉCNICAS'!M173*'ESTIMATIVA DE HORAS TÉCNICAS'!F$950+'ESTIMATIVA DE HORAS TÉCNICAS'!N173*'ESTIMATIVA DE HORAS TÉCNICAS'!F$949+'ESTIMATIVA DE HORAS TÉCNICAS'!O173*'ESTIMATIVA DE HORAS TÉCNICAS'!F$948+'ESTIMATIVA DE HORAS TÉCNICAS'!P173*'ESTIMATIVA DE HORAS TÉCNICAS'!$F$947+'ESTIMATIVA DE HORAS TÉCNICAS'!Q173*'ESTIMATIVA DE HORAS TÉCNICAS'!F$953+'ESTIMATIVA DE HORAS TÉCNICAS'!R173*'ESTIMATIVA DE HORAS TÉCNICAS'!F$954</f>
        <v>642.32597815786437</v>
      </c>
      <c r="E175" s="411">
        <f>'CALCULO DO FATO K'!D$10</f>
        <v>2.3175723620309046</v>
      </c>
      <c r="F175" s="714"/>
      <c r="G175" s="714"/>
      <c r="H175" s="411">
        <f t="shared" si="4"/>
        <v>1488.6369343931328</v>
      </c>
      <c r="I175" s="416"/>
      <c r="J175" s="767"/>
    </row>
    <row r="176" spans="1:10" ht="15.75">
      <c r="A176" s="433" t="s">
        <v>227</v>
      </c>
      <c r="B176" s="768" t="s">
        <v>152</v>
      </c>
      <c r="C176" s="409"/>
      <c r="D176" s="787">
        <f>'ESTIMATIVA DE HORAS TÉCNICAS'!F174*'ESTIMATIVA DE HORAS TÉCNICAS'!F$943+'ESTIMATIVA DE HORAS TÉCNICAS'!G174*'ESTIMATIVA DE HORAS TÉCNICAS'!F$942+'ESTIMATIVA DE HORAS TÉCNICAS'!H174*'ESTIMATIVA DE HORAS TÉCNICAS'!F$941+'ESTIMATIVA DE HORAS TÉCNICAS'!I174*'ESTIMATIVA DE HORAS TÉCNICAS'!F$945+'ESTIMATIVA DE HORAS TÉCNICAS'!J174*'ESTIMATIVA DE HORAS TÉCNICAS'!F$946+'ESTIMATIVA DE HORAS TÉCNICAS'!K174*'ESTIMATIVA DE HORAS TÉCNICAS'!$F$944+'ESTIMATIVA DE HORAS TÉCNICAS'!L174*'ESTIMATIVA DE HORAS TÉCNICAS'!F$951+'ESTIMATIVA DE HORAS TÉCNICAS'!M174*'ESTIMATIVA DE HORAS TÉCNICAS'!F$950+'ESTIMATIVA DE HORAS TÉCNICAS'!N174*'ESTIMATIVA DE HORAS TÉCNICAS'!F$949+'ESTIMATIVA DE HORAS TÉCNICAS'!O174*'ESTIMATIVA DE HORAS TÉCNICAS'!F$948+'ESTIMATIVA DE HORAS TÉCNICAS'!P174*'ESTIMATIVA DE HORAS TÉCNICAS'!$F$947+'ESTIMATIVA DE HORAS TÉCNICAS'!Q174*'ESTIMATIVA DE HORAS TÉCNICAS'!F$953+'ESTIMATIVA DE HORAS TÉCNICAS'!R174*'ESTIMATIVA DE HORAS TÉCNICAS'!F$954</f>
        <v>186.41561157979893</v>
      </c>
      <c r="E176" s="411">
        <f>'CALCULO DO FATO K'!D$10</f>
        <v>2.3175723620309046</v>
      </c>
      <c r="F176" s="714"/>
      <c r="G176" s="714"/>
      <c r="H176" s="411">
        <f t="shared" si="4"/>
        <v>432.03166924843026</v>
      </c>
      <c r="I176" s="416"/>
      <c r="J176" s="767"/>
    </row>
    <row r="177" spans="1:10" ht="15.75">
      <c r="A177" s="433" t="s">
        <v>228</v>
      </c>
      <c r="B177" s="768" t="s">
        <v>229</v>
      </c>
      <c r="C177" s="410"/>
      <c r="D177" s="787">
        <f>'ESTIMATIVA DE HORAS TÉCNICAS'!F175*'ESTIMATIVA DE HORAS TÉCNICAS'!F$943+'ESTIMATIVA DE HORAS TÉCNICAS'!G175*'ESTIMATIVA DE HORAS TÉCNICAS'!F$942+'ESTIMATIVA DE HORAS TÉCNICAS'!H175*'ESTIMATIVA DE HORAS TÉCNICAS'!F$941+'ESTIMATIVA DE HORAS TÉCNICAS'!I175*'ESTIMATIVA DE HORAS TÉCNICAS'!F$945+'ESTIMATIVA DE HORAS TÉCNICAS'!J175*'ESTIMATIVA DE HORAS TÉCNICAS'!F$946+'ESTIMATIVA DE HORAS TÉCNICAS'!K175*'ESTIMATIVA DE HORAS TÉCNICAS'!$F$944+'ESTIMATIVA DE HORAS TÉCNICAS'!L175*'ESTIMATIVA DE HORAS TÉCNICAS'!F$951+'ESTIMATIVA DE HORAS TÉCNICAS'!M175*'ESTIMATIVA DE HORAS TÉCNICAS'!F$950+'ESTIMATIVA DE HORAS TÉCNICAS'!N175*'ESTIMATIVA DE HORAS TÉCNICAS'!F$949+'ESTIMATIVA DE HORAS TÉCNICAS'!O175*'ESTIMATIVA DE HORAS TÉCNICAS'!F$948+'ESTIMATIVA DE HORAS TÉCNICAS'!P175*'ESTIMATIVA DE HORAS TÉCNICAS'!$F$947+'ESTIMATIVA DE HORAS TÉCNICAS'!Q175*'ESTIMATIVA DE HORAS TÉCNICAS'!F$953+'ESTIMATIVA DE HORAS TÉCNICAS'!R175*'ESTIMATIVA DE HORAS TÉCNICAS'!F$954</f>
        <v>612.58899647521093</v>
      </c>
      <c r="E177" s="411">
        <f>'CALCULO DO FATO K'!D$10</f>
        <v>2.3175723620309046</v>
      </c>
      <c r="F177" s="714"/>
      <c r="G177" s="714"/>
      <c r="H177" s="411">
        <f t="shared" si="4"/>
        <v>1419.719327515196</v>
      </c>
      <c r="I177" s="416">
        <f>SUM(H172:H177)</f>
        <v>8207.616157426799</v>
      </c>
      <c r="J177" s="767"/>
    </row>
    <row r="178" spans="1:10" s="532" customFormat="1" ht="15.75">
      <c r="A178" s="433"/>
      <c r="B178" s="768"/>
      <c r="C178" s="410"/>
      <c r="D178" s="787"/>
      <c r="E178" s="411"/>
      <c r="F178" s="714"/>
      <c r="G178" s="714"/>
      <c r="H178" s="411"/>
      <c r="I178" s="416"/>
      <c r="J178" s="767"/>
    </row>
    <row r="179" spans="1:10" ht="15.75">
      <c r="A179" s="426"/>
      <c r="B179" s="768"/>
      <c r="C179" s="409"/>
      <c r="D179" s="787"/>
      <c r="E179" s="714"/>
      <c r="F179" s="714"/>
      <c r="G179" s="714"/>
      <c r="H179" s="714"/>
      <c r="I179" s="416"/>
      <c r="J179" s="767"/>
    </row>
    <row r="180" spans="1:10" ht="15.75">
      <c r="A180" s="363" t="s">
        <v>230</v>
      </c>
      <c r="B180" s="427" t="s">
        <v>231</v>
      </c>
      <c r="C180" s="474"/>
      <c r="D180" s="480"/>
      <c r="E180" s="475"/>
      <c r="F180" s="475"/>
      <c r="G180" s="475"/>
      <c r="H180" s="475"/>
      <c r="I180" s="476"/>
      <c r="J180" s="767"/>
    </row>
    <row r="181" spans="1:10" ht="15.75">
      <c r="A181" s="433" t="s">
        <v>232</v>
      </c>
      <c r="B181" s="428" t="s">
        <v>99</v>
      </c>
      <c r="C181" s="409"/>
      <c r="D181" s="787">
        <f>'ESTIMATIVA DE HORAS TÉCNICAS'!F179*'ESTIMATIVA DE HORAS TÉCNICAS'!F$943+'ESTIMATIVA DE HORAS TÉCNICAS'!G179*'ESTIMATIVA DE HORAS TÉCNICAS'!F$942+'ESTIMATIVA DE HORAS TÉCNICAS'!H179*'ESTIMATIVA DE HORAS TÉCNICAS'!F$941+'ESTIMATIVA DE HORAS TÉCNICAS'!I179*'ESTIMATIVA DE HORAS TÉCNICAS'!F$945+'ESTIMATIVA DE HORAS TÉCNICAS'!J179*'ESTIMATIVA DE HORAS TÉCNICAS'!F$946+'ESTIMATIVA DE HORAS TÉCNICAS'!K179*'ESTIMATIVA DE HORAS TÉCNICAS'!$F$944+'ESTIMATIVA DE HORAS TÉCNICAS'!L179*'ESTIMATIVA DE HORAS TÉCNICAS'!F$951+'ESTIMATIVA DE HORAS TÉCNICAS'!M179*'ESTIMATIVA DE HORAS TÉCNICAS'!F$950+'ESTIMATIVA DE HORAS TÉCNICAS'!N179*'ESTIMATIVA DE HORAS TÉCNICAS'!F$949+'ESTIMATIVA DE HORAS TÉCNICAS'!O179*'ESTIMATIVA DE HORAS TÉCNICAS'!F$948+'ESTIMATIVA DE HORAS TÉCNICAS'!P179*'ESTIMATIVA DE HORAS TÉCNICAS'!$F$947+'ESTIMATIVA DE HORAS TÉCNICAS'!Q179*'ESTIMATIVA DE HORAS TÉCNICAS'!F$953+'ESTIMATIVA DE HORAS TÉCNICAS'!R179*'ESTIMATIVA DE HORAS TÉCNICAS'!F$954</f>
        <v>4642.9207428637465</v>
      </c>
      <c r="E181" s="411">
        <f>'CALCULO DO FATO K'!D$10</f>
        <v>2.3175723620309046</v>
      </c>
      <c r="F181" s="714"/>
      <c r="G181" s="714"/>
      <c r="H181" s="411">
        <f>D181*E181</f>
        <v>10760.304792761015</v>
      </c>
      <c r="I181" s="416"/>
      <c r="J181" s="767"/>
    </row>
    <row r="182" spans="1:10" ht="15.75">
      <c r="A182" s="433" t="s">
        <v>233</v>
      </c>
      <c r="B182" s="768" t="s">
        <v>101</v>
      </c>
      <c r="C182" s="409"/>
      <c r="D182" s="787">
        <f>'ESTIMATIVA DE HORAS TÉCNICAS'!F180*'ESTIMATIVA DE HORAS TÉCNICAS'!F$943+'ESTIMATIVA DE HORAS TÉCNICAS'!G180*'ESTIMATIVA DE HORAS TÉCNICAS'!F$942+'ESTIMATIVA DE HORAS TÉCNICAS'!H180*'ESTIMATIVA DE HORAS TÉCNICAS'!F$941+'ESTIMATIVA DE HORAS TÉCNICAS'!I180*'ESTIMATIVA DE HORAS TÉCNICAS'!F$945+'ESTIMATIVA DE HORAS TÉCNICAS'!J180*'ESTIMATIVA DE HORAS TÉCNICAS'!F$946+'ESTIMATIVA DE HORAS TÉCNICAS'!K180*'ESTIMATIVA DE HORAS TÉCNICAS'!$F$944+'ESTIMATIVA DE HORAS TÉCNICAS'!L180*'ESTIMATIVA DE HORAS TÉCNICAS'!F$951+'ESTIMATIVA DE HORAS TÉCNICAS'!M180*'ESTIMATIVA DE HORAS TÉCNICAS'!F$950+'ESTIMATIVA DE HORAS TÉCNICAS'!N180*'ESTIMATIVA DE HORAS TÉCNICAS'!F$949+'ESTIMATIVA DE HORAS TÉCNICAS'!O180*'ESTIMATIVA DE HORAS TÉCNICAS'!F$948+'ESTIMATIVA DE HORAS TÉCNICAS'!P180*'ESTIMATIVA DE HORAS TÉCNICAS'!$F$947+'ESTIMATIVA DE HORAS TÉCNICAS'!Q180*'ESTIMATIVA DE HORAS TÉCNICAS'!F$953+'ESTIMATIVA DE HORAS TÉCNICAS'!R180*'ESTIMATIVA DE HORAS TÉCNICAS'!F$954</f>
        <v>1489.1931570553566</v>
      </c>
      <c r="E182" s="411">
        <f>'CALCULO DO FATO K'!D$10</f>
        <v>2.3175723620309046</v>
      </c>
      <c r="F182" s="714"/>
      <c r="G182" s="714"/>
      <c r="H182" s="411">
        <f>D182*E182</f>
        <v>3451.3129025170424</v>
      </c>
      <c r="I182" s="416"/>
      <c r="J182" s="767"/>
    </row>
    <row r="183" spans="1:10" ht="15.75">
      <c r="A183" s="433" t="s">
        <v>234</v>
      </c>
      <c r="B183" s="768" t="s">
        <v>105</v>
      </c>
      <c r="C183" s="409"/>
      <c r="D183" s="787">
        <f>'ESTIMATIVA DE HORAS TÉCNICAS'!F181*'ESTIMATIVA DE HORAS TÉCNICAS'!F$943+'ESTIMATIVA DE HORAS TÉCNICAS'!G181*'ESTIMATIVA DE HORAS TÉCNICAS'!F$942+'ESTIMATIVA DE HORAS TÉCNICAS'!H181*'ESTIMATIVA DE HORAS TÉCNICAS'!F$941+'ESTIMATIVA DE HORAS TÉCNICAS'!I181*'ESTIMATIVA DE HORAS TÉCNICAS'!F$945+'ESTIMATIVA DE HORAS TÉCNICAS'!J181*'ESTIMATIVA DE HORAS TÉCNICAS'!F$946+'ESTIMATIVA DE HORAS TÉCNICAS'!K181*'ESTIMATIVA DE HORAS TÉCNICAS'!$F$944+'ESTIMATIVA DE HORAS TÉCNICAS'!L181*'ESTIMATIVA DE HORAS TÉCNICAS'!F$951+'ESTIMATIVA DE HORAS TÉCNICAS'!M181*'ESTIMATIVA DE HORAS TÉCNICAS'!F$950+'ESTIMATIVA DE HORAS TÉCNICAS'!N181*'ESTIMATIVA DE HORAS TÉCNICAS'!F$949+'ESTIMATIVA DE HORAS TÉCNICAS'!O181*'ESTIMATIVA DE HORAS TÉCNICAS'!F$948+'ESTIMATIVA DE HORAS TÉCNICAS'!P181*'ESTIMATIVA DE HORAS TÉCNICAS'!$F$947+'ESTIMATIVA DE HORAS TÉCNICAS'!Q181*'ESTIMATIVA DE HORAS TÉCNICAS'!F$953+'ESTIMATIVA DE HORAS TÉCNICAS'!R181*'ESTIMATIVA DE HORAS TÉCNICAS'!F$954</f>
        <v>6436.4456937478335</v>
      </c>
      <c r="E183" s="411">
        <f>'CALCULO DO FATO K'!D$10</f>
        <v>2.3175723620309046</v>
      </c>
      <c r="F183" s="714"/>
      <c r="G183" s="714"/>
      <c r="H183" s="411">
        <f>D183*E183</f>
        <v>14916.928649542811</v>
      </c>
      <c r="I183" s="416"/>
      <c r="J183" s="767"/>
    </row>
    <row r="184" spans="1:10" ht="15.75">
      <c r="A184" s="433" t="s">
        <v>235</v>
      </c>
      <c r="B184" s="768" t="s">
        <v>213</v>
      </c>
      <c r="C184" s="409"/>
      <c r="D184" s="787">
        <f>'ESTIMATIVA DE HORAS TÉCNICAS'!F182*'ESTIMATIVA DE HORAS TÉCNICAS'!F$943+'ESTIMATIVA DE HORAS TÉCNICAS'!G182*'ESTIMATIVA DE HORAS TÉCNICAS'!F$942+'ESTIMATIVA DE HORAS TÉCNICAS'!H182*'ESTIMATIVA DE HORAS TÉCNICAS'!F$941+'ESTIMATIVA DE HORAS TÉCNICAS'!I182*'ESTIMATIVA DE HORAS TÉCNICAS'!F$945+'ESTIMATIVA DE HORAS TÉCNICAS'!J182*'ESTIMATIVA DE HORAS TÉCNICAS'!F$946+'ESTIMATIVA DE HORAS TÉCNICAS'!K182*'ESTIMATIVA DE HORAS TÉCNICAS'!$F$944+'ESTIMATIVA DE HORAS TÉCNICAS'!L182*'ESTIMATIVA DE HORAS TÉCNICAS'!F$951+'ESTIMATIVA DE HORAS TÉCNICAS'!M182*'ESTIMATIVA DE HORAS TÉCNICAS'!F$950+'ESTIMATIVA DE HORAS TÉCNICAS'!N182*'ESTIMATIVA DE HORAS TÉCNICAS'!F$949+'ESTIMATIVA DE HORAS TÉCNICAS'!O182*'ESTIMATIVA DE HORAS TÉCNICAS'!F$948+'ESTIMATIVA DE HORAS TÉCNICAS'!P182*'ESTIMATIVA DE HORAS TÉCNICAS'!$F$947+'ESTIMATIVA DE HORAS TÉCNICAS'!Q182*'ESTIMATIVA DE HORAS TÉCNICAS'!F$953+'ESTIMATIVA DE HORAS TÉCNICAS'!R182*'ESTIMATIVA DE HORAS TÉCNICAS'!F$954</f>
        <v>2623.9079149427944</v>
      </c>
      <c r="E184" s="411">
        <f>'CALCULO DO FATO K'!D$10</f>
        <v>2.3175723620309046</v>
      </c>
      <c r="F184" s="714"/>
      <c r="G184" s="714"/>
      <c r="H184" s="411">
        <f>D184*E184</f>
        <v>6081.096464185558</v>
      </c>
      <c r="I184" s="416"/>
      <c r="J184" s="767"/>
    </row>
    <row r="185" spans="1:10" ht="15.75">
      <c r="A185" s="433" t="s">
        <v>236</v>
      </c>
      <c r="B185" s="768" t="s">
        <v>152</v>
      </c>
      <c r="C185" s="409"/>
      <c r="D185" s="787">
        <f>'ESTIMATIVA DE HORAS TÉCNICAS'!F183*'ESTIMATIVA DE HORAS TÉCNICAS'!F$943+'ESTIMATIVA DE HORAS TÉCNICAS'!G183*'ESTIMATIVA DE HORAS TÉCNICAS'!F$942+'ESTIMATIVA DE HORAS TÉCNICAS'!H183*'ESTIMATIVA DE HORAS TÉCNICAS'!F$941+'ESTIMATIVA DE HORAS TÉCNICAS'!I183*'ESTIMATIVA DE HORAS TÉCNICAS'!F$945+'ESTIMATIVA DE HORAS TÉCNICAS'!J183*'ESTIMATIVA DE HORAS TÉCNICAS'!F$946+'ESTIMATIVA DE HORAS TÉCNICAS'!K183*'ESTIMATIVA DE HORAS TÉCNICAS'!$F$944+'ESTIMATIVA DE HORAS TÉCNICAS'!L183*'ESTIMATIVA DE HORAS TÉCNICAS'!F$951+'ESTIMATIVA DE HORAS TÉCNICAS'!M183*'ESTIMATIVA DE HORAS TÉCNICAS'!F$950+'ESTIMATIVA DE HORAS TÉCNICAS'!N183*'ESTIMATIVA DE HORAS TÉCNICAS'!F$949+'ESTIMATIVA DE HORAS TÉCNICAS'!O183*'ESTIMATIVA DE HORAS TÉCNICAS'!F$948+'ESTIMATIVA DE HORAS TÉCNICAS'!P183*'ESTIMATIVA DE HORAS TÉCNICAS'!$F$947+'ESTIMATIVA DE HORAS TÉCNICAS'!Q183*'ESTIMATIVA DE HORAS TÉCNICAS'!F$953+'ESTIMATIVA DE HORAS TÉCNICAS'!R183*'ESTIMATIVA DE HORAS TÉCNICAS'!F$954</f>
        <v>1489.1931570553566</v>
      </c>
      <c r="E185" s="411">
        <f>'CALCULO DO FATO K'!D$10</f>
        <v>2.3175723620309046</v>
      </c>
      <c r="F185" s="714"/>
      <c r="G185" s="714"/>
      <c r="H185" s="411">
        <f>D185*E185</f>
        <v>3451.3129025170424</v>
      </c>
      <c r="I185" s="416">
        <f>SUM(H181:H185)</f>
        <v>38660.955711523471</v>
      </c>
      <c r="J185" s="767"/>
    </row>
    <row r="186" spans="1:10" s="532" customFormat="1" ht="15.75">
      <c r="A186" s="433"/>
      <c r="B186" s="768"/>
      <c r="C186" s="409"/>
      <c r="D186" s="787"/>
      <c r="E186" s="411"/>
      <c r="F186" s="714"/>
      <c r="G186" s="714"/>
      <c r="H186" s="411"/>
      <c r="I186" s="416"/>
      <c r="J186" s="767"/>
    </row>
    <row r="187" spans="1:10" ht="15.75">
      <c r="A187" s="426"/>
      <c r="B187" s="768"/>
      <c r="C187" s="409"/>
      <c r="D187" s="787"/>
      <c r="E187" s="714"/>
      <c r="F187" s="714"/>
      <c r="G187" s="714"/>
      <c r="H187" s="714"/>
      <c r="I187" s="416"/>
      <c r="J187" s="767"/>
    </row>
    <row r="188" spans="1:10" ht="15.75">
      <c r="A188" s="363" t="s">
        <v>237</v>
      </c>
      <c r="B188" s="427" t="s">
        <v>238</v>
      </c>
      <c r="C188" s="474"/>
      <c r="D188" s="480"/>
      <c r="E188" s="475"/>
      <c r="F188" s="475"/>
      <c r="G188" s="475"/>
      <c r="H188" s="475"/>
      <c r="I188" s="476"/>
      <c r="J188" s="767"/>
    </row>
    <row r="189" spans="1:10" ht="15.75">
      <c r="A189" s="433" t="s">
        <v>239</v>
      </c>
      <c r="B189" s="428" t="s">
        <v>99</v>
      </c>
      <c r="C189" s="409"/>
      <c r="D189" s="787">
        <f>'ESTIMATIVA DE HORAS TÉCNICAS'!F187*'ESTIMATIVA DE HORAS TÉCNICAS'!F$943+'ESTIMATIVA DE HORAS TÉCNICAS'!G187*'ESTIMATIVA DE HORAS TÉCNICAS'!F$942+'ESTIMATIVA DE HORAS TÉCNICAS'!H187*'ESTIMATIVA DE HORAS TÉCNICAS'!F$941+'ESTIMATIVA DE HORAS TÉCNICAS'!I187*'ESTIMATIVA DE HORAS TÉCNICAS'!F$945+'ESTIMATIVA DE HORAS TÉCNICAS'!J187*'ESTIMATIVA DE HORAS TÉCNICAS'!F$946+'ESTIMATIVA DE HORAS TÉCNICAS'!K187*'ESTIMATIVA DE HORAS TÉCNICAS'!$F$944+'ESTIMATIVA DE HORAS TÉCNICAS'!L187*'ESTIMATIVA DE HORAS TÉCNICAS'!F$951+'ESTIMATIVA DE HORAS TÉCNICAS'!M187*'ESTIMATIVA DE HORAS TÉCNICAS'!F$950+'ESTIMATIVA DE HORAS TÉCNICAS'!N187*'ESTIMATIVA DE HORAS TÉCNICAS'!F$949+'ESTIMATIVA DE HORAS TÉCNICAS'!O187*'ESTIMATIVA DE HORAS TÉCNICAS'!F$948+'ESTIMATIVA DE HORAS TÉCNICAS'!P187*'ESTIMATIVA DE HORAS TÉCNICAS'!$F$947+'ESTIMATIVA DE HORAS TÉCNICAS'!Q187*'ESTIMATIVA DE HORAS TÉCNICAS'!F$953+'ESTIMATIVA DE HORAS TÉCNICAS'!R187*'ESTIMATIVA DE HORAS TÉCNICAS'!F$954</f>
        <v>5169.0919223390729</v>
      </c>
      <c r="E189" s="411">
        <f>'CALCULO DO FATO K'!D$10</f>
        <v>2.3175723620309046</v>
      </c>
      <c r="F189" s="714"/>
      <c r="G189" s="714"/>
      <c r="H189" s="411">
        <f>D189*E189</f>
        <v>11979.744576010235</v>
      </c>
      <c r="I189" s="416"/>
      <c r="J189" s="767"/>
    </row>
    <row r="190" spans="1:10" ht="15.75">
      <c r="A190" s="433" t="s">
        <v>240</v>
      </c>
      <c r="B190" s="768" t="s">
        <v>105</v>
      </c>
      <c r="C190" s="409"/>
      <c r="D190" s="787">
        <f>'ESTIMATIVA DE HORAS TÉCNICAS'!F188*'ESTIMATIVA DE HORAS TÉCNICAS'!F$943+'ESTIMATIVA DE HORAS TÉCNICAS'!G188*'ESTIMATIVA DE HORAS TÉCNICAS'!F$942+'ESTIMATIVA DE HORAS TÉCNICAS'!H188*'ESTIMATIVA DE HORAS TÉCNICAS'!F$941+'ESTIMATIVA DE HORAS TÉCNICAS'!I188*'ESTIMATIVA DE HORAS TÉCNICAS'!F$945+'ESTIMATIVA DE HORAS TÉCNICAS'!J188*'ESTIMATIVA DE HORAS TÉCNICAS'!F$946+'ESTIMATIVA DE HORAS TÉCNICAS'!K188*'ESTIMATIVA DE HORAS TÉCNICAS'!$F$944+'ESTIMATIVA DE HORAS TÉCNICAS'!L188*'ESTIMATIVA DE HORAS TÉCNICAS'!F$951+'ESTIMATIVA DE HORAS TÉCNICAS'!M188*'ESTIMATIVA DE HORAS TÉCNICAS'!F$950+'ESTIMATIVA DE HORAS TÉCNICAS'!N188*'ESTIMATIVA DE HORAS TÉCNICAS'!F$949+'ESTIMATIVA DE HORAS TÉCNICAS'!O188*'ESTIMATIVA DE HORAS TÉCNICAS'!F$948+'ESTIMATIVA DE HORAS TÉCNICAS'!P188*'ESTIMATIVA DE HORAS TÉCNICAS'!$F$947+'ESTIMATIVA DE HORAS TÉCNICAS'!Q188*'ESTIMATIVA DE HORAS TÉCNICAS'!F$953+'ESTIMATIVA DE HORAS TÉCNICAS'!R188*'ESTIMATIVA DE HORAS TÉCNICAS'!F$954</f>
        <v>6150.2669914480521</v>
      </c>
      <c r="E190" s="411">
        <f>'CALCULO DO FATO K'!D$10</f>
        <v>2.3175723620309046</v>
      </c>
      <c r="F190" s="714"/>
      <c r="G190" s="714"/>
      <c r="H190" s="411">
        <f>D190*E190</f>
        <v>14253.688798490966</v>
      </c>
      <c r="I190" s="416"/>
      <c r="J190" s="767"/>
    </row>
    <row r="191" spans="1:10" ht="15.75">
      <c r="A191" s="433" t="s">
        <v>241</v>
      </c>
      <c r="B191" s="768" t="s">
        <v>213</v>
      </c>
      <c r="C191" s="409"/>
      <c r="D191" s="787">
        <f>'ESTIMATIVA DE HORAS TÉCNICAS'!F189*'ESTIMATIVA DE HORAS TÉCNICAS'!F$943+'ESTIMATIVA DE HORAS TÉCNICAS'!G189*'ESTIMATIVA DE HORAS TÉCNICAS'!F$942+'ESTIMATIVA DE HORAS TÉCNICAS'!H189*'ESTIMATIVA DE HORAS TÉCNICAS'!F$941+'ESTIMATIVA DE HORAS TÉCNICAS'!I189*'ESTIMATIVA DE HORAS TÉCNICAS'!F$945+'ESTIMATIVA DE HORAS TÉCNICAS'!J189*'ESTIMATIVA DE HORAS TÉCNICAS'!F$946+'ESTIMATIVA DE HORAS TÉCNICAS'!K189*'ESTIMATIVA DE HORAS TÉCNICAS'!$F$944+'ESTIMATIVA DE HORAS TÉCNICAS'!L189*'ESTIMATIVA DE HORAS TÉCNICAS'!F$951+'ESTIMATIVA DE HORAS TÉCNICAS'!M189*'ESTIMATIVA DE HORAS TÉCNICAS'!F$950+'ESTIMATIVA DE HORAS TÉCNICAS'!N189*'ESTIMATIVA DE HORAS TÉCNICAS'!F$949+'ESTIMATIVA DE HORAS TÉCNICAS'!O189*'ESTIMATIVA DE HORAS TÉCNICAS'!F$948+'ESTIMATIVA DE HORAS TÉCNICAS'!P189*'ESTIMATIVA DE HORAS TÉCNICAS'!$F$947+'ESTIMATIVA DE HORAS TÉCNICAS'!Q189*'ESTIMATIVA DE HORAS TÉCNICAS'!F$953+'ESTIMATIVA DE HORAS TÉCNICAS'!R189*'ESTIMATIVA DE HORAS TÉCNICAS'!F$954</f>
        <v>3404.8216513347975</v>
      </c>
      <c r="E191" s="411">
        <f>'CALCULO DO FATO K'!D$10</f>
        <v>2.3175723620309046</v>
      </c>
      <c r="F191" s="714"/>
      <c r="G191" s="714"/>
      <c r="H191" s="411">
        <f>D191*E191</f>
        <v>7890.9205567779518</v>
      </c>
      <c r="I191" s="416">
        <f>SUM(H189:H191)</f>
        <v>34124.353931279154</v>
      </c>
      <c r="J191" s="767"/>
    </row>
    <row r="192" spans="1:10" s="532" customFormat="1" ht="15.75">
      <c r="A192" s="433"/>
      <c r="B192" s="768"/>
      <c r="C192" s="409"/>
      <c r="D192" s="787"/>
      <c r="E192" s="411"/>
      <c r="F192" s="714"/>
      <c r="G192" s="714"/>
      <c r="H192" s="411"/>
      <c r="I192" s="416"/>
      <c r="J192" s="767"/>
    </row>
    <row r="193" spans="1:10" ht="15.75">
      <c r="A193" s="426"/>
      <c r="B193" s="768"/>
      <c r="C193" s="409"/>
      <c r="D193" s="787"/>
      <c r="E193" s="714"/>
      <c r="F193" s="714"/>
      <c r="G193" s="714"/>
      <c r="H193" s="714"/>
      <c r="I193" s="416"/>
      <c r="J193" s="767"/>
    </row>
    <row r="194" spans="1:10" ht="15.75">
      <c r="A194" s="363" t="s">
        <v>242</v>
      </c>
      <c r="B194" s="427" t="s">
        <v>243</v>
      </c>
      <c r="C194" s="474"/>
      <c r="D194" s="480"/>
      <c r="E194" s="475"/>
      <c r="F194" s="475"/>
      <c r="G194" s="475"/>
      <c r="H194" s="475"/>
      <c r="I194" s="476"/>
      <c r="J194" s="767"/>
    </row>
    <row r="195" spans="1:10" ht="15.75">
      <c r="A195" s="433" t="s">
        <v>244</v>
      </c>
      <c r="B195" s="428" t="s">
        <v>99</v>
      </c>
      <c r="C195" s="409"/>
      <c r="D195" s="787">
        <f>'ESTIMATIVA DE HORAS TÉCNICAS'!F193*'ESTIMATIVA DE HORAS TÉCNICAS'!F$943+'ESTIMATIVA DE HORAS TÉCNICAS'!G193*'ESTIMATIVA DE HORAS TÉCNICAS'!F$942+'ESTIMATIVA DE HORAS TÉCNICAS'!H193*'ESTIMATIVA DE HORAS TÉCNICAS'!F$941+'ESTIMATIVA DE HORAS TÉCNICAS'!I193*'ESTIMATIVA DE HORAS TÉCNICAS'!F$945+'ESTIMATIVA DE HORAS TÉCNICAS'!J193*'ESTIMATIVA DE HORAS TÉCNICAS'!F$946+'ESTIMATIVA DE HORAS TÉCNICAS'!K193*'ESTIMATIVA DE HORAS TÉCNICAS'!$F$944+'ESTIMATIVA DE HORAS TÉCNICAS'!L193*'ESTIMATIVA DE HORAS TÉCNICAS'!F$951+'ESTIMATIVA DE HORAS TÉCNICAS'!M193*'ESTIMATIVA DE HORAS TÉCNICAS'!F$950+'ESTIMATIVA DE HORAS TÉCNICAS'!N193*'ESTIMATIVA DE HORAS TÉCNICAS'!F$949+'ESTIMATIVA DE HORAS TÉCNICAS'!O193*'ESTIMATIVA DE HORAS TÉCNICAS'!F$948+'ESTIMATIVA DE HORAS TÉCNICAS'!P193*'ESTIMATIVA DE HORAS TÉCNICAS'!$F$947+'ESTIMATIVA DE HORAS TÉCNICAS'!Q193*'ESTIMATIVA DE HORAS TÉCNICAS'!F$953+'ESTIMATIVA DE HORAS TÉCNICAS'!R193*'ESTIMATIVA DE HORAS TÉCNICAS'!F$954</f>
        <v>959.9272940020802</v>
      </c>
      <c r="E195" s="411">
        <f>'CALCULO DO FATO K'!D$10</f>
        <v>2.3175723620309046</v>
      </c>
      <c r="F195" s="714"/>
      <c r="G195" s="714"/>
      <c r="H195" s="411">
        <f>D195*E195</f>
        <v>2224.7009661383354</v>
      </c>
      <c r="I195" s="416"/>
      <c r="J195" s="767"/>
    </row>
    <row r="196" spans="1:10" ht="15.75">
      <c r="A196" s="433" t="s">
        <v>245</v>
      </c>
      <c r="B196" s="768" t="s">
        <v>105</v>
      </c>
      <c r="C196" s="409"/>
      <c r="D196" s="787">
        <f>'ESTIMATIVA DE HORAS TÉCNICAS'!F194*'ESTIMATIVA DE HORAS TÉCNICAS'!F$943+'ESTIMATIVA DE HORAS TÉCNICAS'!G194*'ESTIMATIVA DE HORAS TÉCNICAS'!F$942+'ESTIMATIVA DE HORAS TÉCNICAS'!H194*'ESTIMATIVA DE HORAS TÉCNICAS'!F$941+'ESTIMATIVA DE HORAS TÉCNICAS'!I194*'ESTIMATIVA DE HORAS TÉCNICAS'!F$945+'ESTIMATIVA DE HORAS TÉCNICAS'!J194*'ESTIMATIVA DE HORAS TÉCNICAS'!F$946+'ESTIMATIVA DE HORAS TÉCNICAS'!K194*'ESTIMATIVA DE HORAS TÉCNICAS'!$F$944+'ESTIMATIVA DE HORAS TÉCNICAS'!L194*'ESTIMATIVA DE HORAS TÉCNICAS'!F$951+'ESTIMATIVA DE HORAS TÉCNICAS'!M194*'ESTIMATIVA DE HORAS TÉCNICAS'!F$950+'ESTIMATIVA DE HORAS TÉCNICAS'!N194*'ESTIMATIVA DE HORAS TÉCNICAS'!F$949+'ESTIMATIVA DE HORAS TÉCNICAS'!O194*'ESTIMATIVA DE HORAS TÉCNICAS'!F$948+'ESTIMATIVA DE HORAS TÉCNICAS'!P194*'ESTIMATIVA DE HORAS TÉCNICAS'!$F$947+'ESTIMATIVA DE HORAS TÉCNICAS'!Q194*'ESTIMATIVA DE HORAS TÉCNICAS'!F$953+'ESTIMATIVA DE HORAS TÉCNICAS'!R194*'ESTIMATIVA DE HORAS TÉCNICAS'!F$954</f>
        <v>2065.3766450941876</v>
      </c>
      <c r="E196" s="411">
        <f>'CALCULO DO FATO K'!D$10</f>
        <v>2.3175723620309046</v>
      </c>
      <c r="F196" s="714"/>
      <c r="G196" s="714"/>
      <c r="H196" s="411">
        <f>D196*E196</f>
        <v>4786.6598298544013</v>
      </c>
      <c r="I196" s="416"/>
      <c r="J196" s="767"/>
    </row>
    <row r="197" spans="1:10" ht="15.75">
      <c r="A197" s="433" t="s">
        <v>246</v>
      </c>
      <c r="B197" s="768" t="s">
        <v>213</v>
      </c>
      <c r="C197" s="409"/>
      <c r="D197" s="787">
        <f>'ESTIMATIVA DE HORAS TÉCNICAS'!F195*'ESTIMATIVA DE HORAS TÉCNICAS'!F$943+'ESTIMATIVA DE HORAS TÉCNICAS'!G195*'ESTIMATIVA DE HORAS TÉCNICAS'!F$942+'ESTIMATIVA DE HORAS TÉCNICAS'!H195*'ESTIMATIVA DE HORAS TÉCNICAS'!F$941+'ESTIMATIVA DE HORAS TÉCNICAS'!I195*'ESTIMATIVA DE HORAS TÉCNICAS'!F$945+'ESTIMATIVA DE HORAS TÉCNICAS'!J195*'ESTIMATIVA DE HORAS TÉCNICAS'!F$946+'ESTIMATIVA DE HORAS TÉCNICAS'!K195*'ESTIMATIVA DE HORAS TÉCNICAS'!$F$944+'ESTIMATIVA DE HORAS TÉCNICAS'!L195*'ESTIMATIVA DE HORAS TÉCNICAS'!F$951+'ESTIMATIVA DE HORAS TÉCNICAS'!M195*'ESTIMATIVA DE HORAS TÉCNICAS'!F$950+'ESTIMATIVA DE HORAS TÉCNICAS'!N195*'ESTIMATIVA DE HORAS TÉCNICAS'!F$949+'ESTIMATIVA DE HORAS TÉCNICAS'!O195*'ESTIMATIVA DE HORAS TÉCNICAS'!F$948+'ESTIMATIVA DE HORAS TÉCNICAS'!P195*'ESTIMATIVA DE HORAS TÉCNICAS'!$F$947+'ESTIMATIVA DE HORAS TÉCNICAS'!Q195*'ESTIMATIVA DE HORAS TÉCNICAS'!F$953+'ESTIMATIVA DE HORAS TÉCNICAS'!R195*'ESTIMATIVA DE HORAS TÉCNICAS'!F$954</f>
        <v>1189.7288934473593</v>
      </c>
      <c r="E197" s="411">
        <f>'CALCULO DO FATO K'!D$10</f>
        <v>2.3175723620309046</v>
      </c>
      <c r="F197" s="714"/>
      <c r="G197" s="714"/>
      <c r="H197" s="411">
        <f>D197*E197</f>
        <v>2757.282801763211</v>
      </c>
      <c r="I197" s="416">
        <f>SUM(H195:H197)</f>
        <v>9768.6435977559486</v>
      </c>
      <c r="J197" s="767"/>
    </row>
    <row r="198" spans="1:10" s="532" customFormat="1" ht="15.75">
      <c r="A198" s="433"/>
      <c r="B198" s="768"/>
      <c r="C198" s="409"/>
      <c r="D198" s="787"/>
      <c r="E198" s="411"/>
      <c r="F198" s="714"/>
      <c r="G198" s="714"/>
      <c r="H198" s="411"/>
      <c r="I198" s="416"/>
      <c r="J198" s="767"/>
    </row>
    <row r="199" spans="1:10" ht="15.75">
      <c r="A199" s="426"/>
      <c r="B199" s="768"/>
      <c r="C199" s="409"/>
      <c r="D199" s="787"/>
      <c r="E199" s="714"/>
      <c r="F199" s="714"/>
      <c r="G199" s="714"/>
      <c r="H199" s="714"/>
      <c r="I199" s="416"/>
      <c r="J199" s="767"/>
    </row>
    <row r="200" spans="1:10" ht="15.75">
      <c r="A200" s="363" t="s">
        <v>247</v>
      </c>
      <c r="B200" s="418" t="s">
        <v>248</v>
      </c>
      <c r="C200" s="478"/>
      <c r="D200" s="480"/>
      <c r="E200" s="475"/>
      <c r="F200" s="475"/>
      <c r="G200" s="475"/>
      <c r="H200" s="475"/>
      <c r="I200" s="476"/>
      <c r="J200" s="767"/>
    </row>
    <row r="201" spans="1:10" ht="15.75">
      <c r="A201" s="433" t="s">
        <v>249</v>
      </c>
      <c r="B201" s="428" t="s">
        <v>99</v>
      </c>
      <c r="C201" s="410"/>
      <c r="D201" s="787">
        <f>'ESTIMATIVA DE HORAS TÉCNICAS'!F199*'ESTIMATIVA DE HORAS TÉCNICAS'!F$943+'ESTIMATIVA DE HORAS TÉCNICAS'!G199*'ESTIMATIVA DE HORAS TÉCNICAS'!F$942+'ESTIMATIVA DE HORAS TÉCNICAS'!H199*'ESTIMATIVA DE HORAS TÉCNICAS'!F$941+'ESTIMATIVA DE HORAS TÉCNICAS'!I199*'ESTIMATIVA DE HORAS TÉCNICAS'!F$945+'ESTIMATIVA DE HORAS TÉCNICAS'!J199*'ESTIMATIVA DE HORAS TÉCNICAS'!F$946+'ESTIMATIVA DE HORAS TÉCNICAS'!K199*'ESTIMATIVA DE HORAS TÉCNICAS'!$F$944+'ESTIMATIVA DE HORAS TÉCNICAS'!L199*'ESTIMATIVA DE HORAS TÉCNICAS'!F$951+'ESTIMATIVA DE HORAS TÉCNICAS'!M199*'ESTIMATIVA DE HORAS TÉCNICAS'!F$950+'ESTIMATIVA DE HORAS TÉCNICAS'!N199*'ESTIMATIVA DE HORAS TÉCNICAS'!F$949+'ESTIMATIVA DE HORAS TÉCNICAS'!O199*'ESTIMATIVA DE HORAS TÉCNICAS'!F$948+'ESTIMATIVA DE HORAS TÉCNICAS'!P199*'ESTIMATIVA DE HORAS TÉCNICAS'!$F$947+'ESTIMATIVA DE HORAS TÉCNICAS'!Q199*'ESTIMATIVA DE HORAS TÉCNICAS'!F$953+'ESTIMATIVA DE HORAS TÉCNICAS'!R199*'ESTIMATIVA DE HORAS TÉCNICAS'!F$954</f>
        <v>2063.6142579452212</v>
      </c>
      <c r="E201" s="411">
        <f>'CALCULO DO FATO K'!D$10</f>
        <v>2.3175723620309046</v>
      </c>
      <c r="F201" s="714"/>
      <c r="G201" s="714"/>
      <c r="H201" s="411">
        <f>D201*E201</f>
        <v>4782.5753701067588</v>
      </c>
      <c r="I201" s="416"/>
      <c r="J201" s="767"/>
    </row>
    <row r="202" spans="1:10" ht="15.75">
      <c r="A202" s="433" t="s">
        <v>250</v>
      </c>
      <c r="B202" s="768" t="s">
        <v>105</v>
      </c>
      <c r="C202" s="410"/>
      <c r="D202" s="787">
        <f>'ESTIMATIVA DE HORAS TÉCNICAS'!F200*'ESTIMATIVA DE HORAS TÉCNICAS'!F$943+'ESTIMATIVA DE HORAS TÉCNICAS'!G200*'ESTIMATIVA DE HORAS TÉCNICAS'!F$942+'ESTIMATIVA DE HORAS TÉCNICAS'!H200*'ESTIMATIVA DE HORAS TÉCNICAS'!F$941+'ESTIMATIVA DE HORAS TÉCNICAS'!I200*'ESTIMATIVA DE HORAS TÉCNICAS'!F$945+'ESTIMATIVA DE HORAS TÉCNICAS'!J200*'ESTIMATIVA DE HORAS TÉCNICAS'!F$946+'ESTIMATIVA DE HORAS TÉCNICAS'!K200*'ESTIMATIVA DE HORAS TÉCNICAS'!$F$944+'ESTIMATIVA DE HORAS TÉCNICAS'!L200*'ESTIMATIVA DE HORAS TÉCNICAS'!F$951+'ESTIMATIVA DE HORAS TÉCNICAS'!M200*'ESTIMATIVA DE HORAS TÉCNICAS'!F$950+'ESTIMATIVA DE HORAS TÉCNICAS'!N200*'ESTIMATIVA DE HORAS TÉCNICAS'!F$949+'ESTIMATIVA DE HORAS TÉCNICAS'!O200*'ESTIMATIVA DE HORAS TÉCNICAS'!F$948+'ESTIMATIVA DE HORAS TÉCNICAS'!P200*'ESTIMATIVA DE HORAS TÉCNICAS'!$F$947+'ESTIMATIVA DE HORAS TÉCNICAS'!Q200*'ESTIMATIVA DE HORAS TÉCNICAS'!F$953+'ESTIMATIVA DE HORAS TÉCNICAS'!R200*'ESTIMATIVA DE HORAS TÉCNICAS'!F$954</f>
        <v>2523.4587493354902</v>
      </c>
      <c r="E202" s="411">
        <f>'CALCULO DO FATO K'!D$10</f>
        <v>2.3175723620309046</v>
      </c>
      <c r="F202" s="714"/>
      <c r="G202" s="714"/>
      <c r="H202" s="411">
        <f>D202*E202</f>
        <v>5848.2982541850042</v>
      </c>
      <c r="I202" s="416"/>
      <c r="J202" s="767"/>
    </row>
    <row r="203" spans="1:10" ht="15.75">
      <c r="A203" s="433" t="s">
        <v>251</v>
      </c>
      <c r="B203" s="768" t="s">
        <v>213</v>
      </c>
      <c r="C203" s="410"/>
      <c r="D203" s="787">
        <f>'ESTIMATIVA DE HORAS TÉCNICAS'!F201*'ESTIMATIVA DE HORAS TÉCNICAS'!F$943+'ESTIMATIVA DE HORAS TÉCNICAS'!G201*'ESTIMATIVA DE HORAS TÉCNICAS'!F$942+'ESTIMATIVA DE HORAS TÉCNICAS'!H201*'ESTIMATIVA DE HORAS TÉCNICAS'!F$941+'ESTIMATIVA DE HORAS TÉCNICAS'!I201*'ESTIMATIVA DE HORAS TÉCNICAS'!F$945+'ESTIMATIVA DE HORAS TÉCNICAS'!J201*'ESTIMATIVA DE HORAS TÉCNICAS'!F$946+'ESTIMATIVA DE HORAS TÉCNICAS'!K201*'ESTIMATIVA DE HORAS TÉCNICAS'!$F$944+'ESTIMATIVA DE HORAS TÉCNICAS'!L201*'ESTIMATIVA DE HORAS TÉCNICAS'!F$951+'ESTIMATIVA DE HORAS TÉCNICAS'!M201*'ESTIMATIVA DE HORAS TÉCNICAS'!F$950+'ESTIMATIVA DE HORAS TÉCNICAS'!N201*'ESTIMATIVA DE HORAS TÉCNICAS'!F$949+'ESTIMATIVA DE HORAS TÉCNICAS'!O201*'ESTIMATIVA DE HORAS TÉCNICAS'!F$948+'ESTIMATIVA DE HORAS TÉCNICAS'!P201*'ESTIMATIVA DE HORAS TÉCNICAS'!$F$947+'ESTIMATIVA DE HORAS TÉCNICAS'!Q201*'ESTIMATIVA DE HORAS TÉCNICAS'!F$953+'ESTIMATIVA DE HORAS TÉCNICAS'!R201*'ESTIMATIVA DE HORAS TÉCNICAS'!F$954</f>
        <v>1277.7259595516007</v>
      </c>
      <c r="E203" s="411">
        <f>'CALCULO DO FATO K'!D$10</f>
        <v>2.3175723620309046</v>
      </c>
      <c r="F203" s="714"/>
      <c r="G203" s="714"/>
      <c r="H203" s="411">
        <f>D203*E203</f>
        <v>2961.2223701062071</v>
      </c>
      <c r="I203" s="416">
        <f>SUM(H201:H203)</f>
        <v>13592.095994397969</v>
      </c>
      <c r="J203" s="767"/>
    </row>
    <row r="204" spans="1:10" s="532" customFormat="1" ht="15.75">
      <c r="A204" s="433"/>
      <c r="B204" s="768"/>
      <c r="C204" s="410"/>
      <c r="D204" s="787"/>
      <c r="E204" s="411"/>
      <c r="F204" s="714"/>
      <c r="G204" s="714"/>
      <c r="H204" s="411"/>
      <c r="I204" s="416"/>
      <c r="J204" s="767"/>
    </row>
    <row r="205" spans="1:10" ht="15.75">
      <c r="A205" s="426"/>
      <c r="B205" s="768"/>
      <c r="C205" s="409"/>
      <c r="D205" s="787"/>
      <c r="E205" s="714"/>
      <c r="F205" s="714"/>
      <c r="G205" s="714"/>
      <c r="H205" s="714"/>
      <c r="I205" s="416"/>
      <c r="J205" s="767"/>
    </row>
    <row r="206" spans="1:10" ht="15.75">
      <c r="A206" s="363" t="s">
        <v>252</v>
      </c>
      <c r="B206" s="427" t="s">
        <v>253</v>
      </c>
      <c r="C206" s="474"/>
      <c r="D206" s="480"/>
      <c r="E206" s="480"/>
      <c r="F206" s="475"/>
      <c r="G206" s="475"/>
      <c r="H206" s="480"/>
      <c r="I206" s="476"/>
      <c r="J206" s="767"/>
    </row>
    <row r="207" spans="1:10" ht="15.75">
      <c r="A207" s="433" t="s">
        <v>254</v>
      </c>
      <c r="B207" s="428" t="s">
        <v>99</v>
      </c>
      <c r="C207" s="409"/>
      <c r="D207" s="787">
        <f>'ESTIMATIVA DE HORAS TÉCNICAS'!F205*'ESTIMATIVA DE HORAS TÉCNICAS'!F$943+'ESTIMATIVA DE HORAS TÉCNICAS'!G205*'ESTIMATIVA DE HORAS TÉCNICAS'!F$942+'ESTIMATIVA DE HORAS TÉCNICAS'!H205*'ESTIMATIVA DE HORAS TÉCNICAS'!F$941+'ESTIMATIVA DE HORAS TÉCNICAS'!I205*'ESTIMATIVA DE HORAS TÉCNICAS'!F$945+'ESTIMATIVA DE HORAS TÉCNICAS'!J205*'ESTIMATIVA DE HORAS TÉCNICAS'!F$946+'ESTIMATIVA DE HORAS TÉCNICAS'!K205*'ESTIMATIVA DE HORAS TÉCNICAS'!$F$944+'ESTIMATIVA DE HORAS TÉCNICAS'!L205*'ESTIMATIVA DE HORAS TÉCNICAS'!F$951+'ESTIMATIVA DE HORAS TÉCNICAS'!M205*'ESTIMATIVA DE HORAS TÉCNICAS'!F$950+'ESTIMATIVA DE HORAS TÉCNICAS'!N205*'ESTIMATIVA DE HORAS TÉCNICAS'!F$949+'ESTIMATIVA DE HORAS TÉCNICAS'!O205*'ESTIMATIVA DE HORAS TÉCNICAS'!F$948+'ESTIMATIVA DE HORAS TÉCNICAS'!P205*'ESTIMATIVA DE HORAS TÉCNICAS'!$F$947+'ESTIMATIVA DE HORAS TÉCNICAS'!Q205*'ESTIMATIVA DE HORAS TÉCNICAS'!F$953+'ESTIMATIVA DE HORAS TÉCNICAS'!R205*'ESTIMATIVA DE HORAS TÉCNICAS'!F$954</f>
        <v>1174.6373345949382</v>
      </c>
      <c r="E207" s="411">
        <f>'CALCULO DO FATO K'!D$10</f>
        <v>2.3175723620309046</v>
      </c>
      <c r="F207" s="714"/>
      <c r="G207" s="714"/>
      <c r="H207" s="411">
        <f>D207*E207</f>
        <v>2722.3070220668769</v>
      </c>
      <c r="I207" s="416"/>
      <c r="J207" s="767"/>
    </row>
    <row r="208" spans="1:10" ht="15.75">
      <c r="A208" s="433" t="s">
        <v>255</v>
      </c>
      <c r="B208" s="428" t="s">
        <v>105</v>
      </c>
      <c r="C208" s="409"/>
      <c r="D208" s="787">
        <f>'ESTIMATIVA DE HORAS TÉCNICAS'!F206*'ESTIMATIVA DE HORAS TÉCNICAS'!F$943+'ESTIMATIVA DE HORAS TÉCNICAS'!G206*'ESTIMATIVA DE HORAS TÉCNICAS'!F$942+'ESTIMATIVA DE HORAS TÉCNICAS'!H206*'ESTIMATIVA DE HORAS TÉCNICAS'!F$941+'ESTIMATIVA DE HORAS TÉCNICAS'!I206*'ESTIMATIVA DE HORAS TÉCNICAS'!F$945+'ESTIMATIVA DE HORAS TÉCNICAS'!J206*'ESTIMATIVA DE HORAS TÉCNICAS'!F$946+'ESTIMATIVA DE HORAS TÉCNICAS'!K206*'ESTIMATIVA DE HORAS TÉCNICAS'!$F$944+'ESTIMATIVA DE HORAS TÉCNICAS'!L206*'ESTIMATIVA DE HORAS TÉCNICAS'!F$951+'ESTIMATIVA DE HORAS TÉCNICAS'!M206*'ESTIMATIVA DE HORAS TÉCNICAS'!F$950+'ESTIMATIVA DE HORAS TÉCNICAS'!N206*'ESTIMATIVA DE HORAS TÉCNICAS'!F$949+'ESTIMATIVA DE HORAS TÉCNICAS'!O206*'ESTIMATIVA DE HORAS TÉCNICAS'!F$948+'ESTIMATIVA DE HORAS TÉCNICAS'!P206*'ESTIMATIVA DE HORAS TÉCNICAS'!$F$947+'ESTIMATIVA DE HORAS TÉCNICAS'!Q206*'ESTIMATIVA DE HORAS TÉCNICAS'!F$953+'ESTIMATIVA DE HORAS TÉCNICAS'!R206*'ESTIMATIVA DE HORAS TÉCNICAS'!F$954</f>
        <v>1178.4201498035363</v>
      </c>
      <c r="E208" s="411">
        <f>'CALCULO DO FATO K'!D$10</f>
        <v>2.3175723620309046</v>
      </c>
      <c r="F208" s="714"/>
      <c r="G208" s="714"/>
      <c r="H208" s="411">
        <f>D208*E208</f>
        <v>2731.073970044994</v>
      </c>
      <c r="I208" s="416"/>
      <c r="J208" s="767"/>
    </row>
    <row r="209" spans="1:10" ht="15.75">
      <c r="A209" s="433" t="s">
        <v>256</v>
      </c>
      <c r="B209" s="768" t="s">
        <v>213</v>
      </c>
      <c r="C209" s="409"/>
      <c r="D209" s="787">
        <f>'ESTIMATIVA DE HORAS TÉCNICAS'!F207*'ESTIMATIVA DE HORAS TÉCNICAS'!F$943+'ESTIMATIVA DE HORAS TÉCNICAS'!G207*'ESTIMATIVA DE HORAS TÉCNICAS'!F$942+'ESTIMATIVA DE HORAS TÉCNICAS'!H207*'ESTIMATIVA DE HORAS TÉCNICAS'!F$941+'ESTIMATIVA DE HORAS TÉCNICAS'!I207*'ESTIMATIVA DE HORAS TÉCNICAS'!F$945+'ESTIMATIVA DE HORAS TÉCNICAS'!J207*'ESTIMATIVA DE HORAS TÉCNICAS'!F$946+'ESTIMATIVA DE HORAS TÉCNICAS'!K207*'ESTIMATIVA DE HORAS TÉCNICAS'!$F$944+'ESTIMATIVA DE HORAS TÉCNICAS'!L207*'ESTIMATIVA DE HORAS TÉCNICAS'!F$951+'ESTIMATIVA DE HORAS TÉCNICAS'!M207*'ESTIMATIVA DE HORAS TÉCNICAS'!F$950+'ESTIMATIVA DE HORAS TÉCNICAS'!N207*'ESTIMATIVA DE HORAS TÉCNICAS'!F$949+'ESTIMATIVA DE HORAS TÉCNICAS'!O207*'ESTIMATIVA DE HORAS TÉCNICAS'!F$948+'ESTIMATIVA DE HORAS TÉCNICAS'!P207*'ESTIMATIVA DE HORAS TÉCNICAS'!$F$947+'ESTIMATIVA DE HORAS TÉCNICAS'!Q207*'ESTIMATIVA DE HORAS TÉCNICAS'!F$953+'ESTIMATIVA DE HORAS TÉCNICAS'!R207*'ESTIMATIVA DE HORAS TÉCNICAS'!F$954</f>
        <v>1244.3545107188258</v>
      </c>
      <c r="E209" s="411">
        <f>'CALCULO DO FATO K'!D$10</f>
        <v>2.3175723620309046</v>
      </c>
      <c r="F209" s="714"/>
      <c r="G209" s="714"/>
      <c r="H209" s="411">
        <f>D209*E209</f>
        <v>2883.88162261044</v>
      </c>
      <c r="I209" s="416"/>
      <c r="J209" s="767"/>
    </row>
    <row r="210" spans="1:10" ht="15.75">
      <c r="A210" s="433" t="s">
        <v>257</v>
      </c>
      <c r="B210" s="768" t="s">
        <v>152</v>
      </c>
      <c r="C210" s="409"/>
      <c r="D210" s="787">
        <f>'ESTIMATIVA DE HORAS TÉCNICAS'!F208*'ESTIMATIVA DE HORAS TÉCNICAS'!F$943+'ESTIMATIVA DE HORAS TÉCNICAS'!G208*'ESTIMATIVA DE HORAS TÉCNICAS'!F$942+'ESTIMATIVA DE HORAS TÉCNICAS'!H208*'ESTIMATIVA DE HORAS TÉCNICAS'!F$941+'ESTIMATIVA DE HORAS TÉCNICAS'!I208*'ESTIMATIVA DE HORAS TÉCNICAS'!F$945+'ESTIMATIVA DE HORAS TÉCNICAS'!J208*'ESTIMATIVA DE HORAS TÉCNICAS'!F$946+'ESTIMATIVA DE HORAS TÉCNICAS'!K208*'ESTIMATIVA DE HORAS TÉCNICAS'!$F$944+'ESTIMATIVA DE HORAS TÉCNICAS'!L208*'ESTIMATIVA DE HORAS TÉCNICAS'!F$951+'ESTIMATIVA DE HORAS TÉCNICAS'!M208*'ESTIMATIVA DE HORAS TÉCNICAS'!F$950+'ESTIMATIVA DE HORAS TÉCNICAS'!N208*'ESTIMATIVA DE HORAS TÉCNICAS'!F$949+'ESTIMATIVA DE HORAS TÉCNICAS'!O208*'ESTIMATIVA DE HORAS TÉCNICAS'!F$948+'ESTIMATIVA DE HORAS TÉCNICAS'!P208*'ESTIMATIVA DE HORAS TÉCNICAS'!$F$947+'ESTIMATIVA DE HORAS TÉCNICAS'!Q208*'ESTIMATIVA DE HORAS TÉCNICAS'!F$953+'ESTIMATIVA DE HORAS TÉCNICAS'!R208*'ESTIMATIVA DE HORAS TÉCNICAS'!F$954</f>
        <v>746.71430789899455</v>
      </c>
      <c r="E210" s="411">
        <f>'CALCULO DO FATO K'!D$10</f>
        <v>2.3175723620309046</v>
      </c>
      <c r="F210" s="714"/>
      <c r="G210" s="714"/>
      <c r="H210" s="411">
        <f>D210*E210</f>
        <v>1730.564442319745</v>
      </c>
      <c r="I210" s="416">
        <f>SUM(H207:H210)</f>
        <v>10067.827057042055</v>
      </c>
      <c r="J210" s="767"/>
    </row>
    <row r="211" spans="1:10" s="532" customFormat="1" ht="15.75">
      <c r="A211" s="433"/>
      <c r="B211" s="768"/>
      <c r="C211" s="409"/>
      <c r="D211" s="787"/>
      <c r="E211" s="411"/>
      <c r="F211" s="714"/>
      <c r="G211" s="714"/>
      <c r="H211" s="411"/>
      <c r="I211" s="416"/>
      <c r="J211" s="767"/>
    </row>
    <row r="212" spans="1:10" ht="15.75">
      <c r="A212" s="426"/>
      <c r="B212" s="768"/>
      <c r="C212" s="409"/>
      <c r="D212" s="787"/>
      <c r="E212" s="714"/>
      <c r="F212" s="714"/>
      <c r="G212" s="714"/>
      <c r="H212" s="714"/>
      <c r="I212" s="416"/>
      <c r="J212" s="767"/>
    </row>
    <row r="213" spans="1:10" ht="15.75">
      <c r="A213" s="363" t="s">
        <v>258</v>
      </c>
      <c r="B213" s="427" t="s">
        <v>259</v>
      </c>
      <c r="C213" s="478"/>
      <c r="D213" s="480"/>
      <c r="E213" s="475"/>
      <c r="F213" s="475"/>
      <c r="G213" s="475"/>
      <c r="H213" s="475"/>
      <c r="I213" s="476"/>
      <c r="J213" s="767"/>
    </row>
    <row r="214" spans="1:10" ht="15.75">
      <c r="A214" s="433" t="s">
        <v>260</v>
      </c>
      <c r="B214" s="428" t="s">
        <v>99</v>
      </c>
      <c r="C214" s="410"/>
      <c r="D214" s="787">
        <f>'ESTIMATIVA DE HORAS TÉCNICAS'!F212*'ESTIMATIVA DE HORAS TÉCNICAS'!F$943+'ESTIMATIVA DE HORAS TÉCNICAS'!G212*'ESTIMATIVA DE HORAS TÉCNICAS'!F$942+'ESTIMATIVA DE HORAS TÉCNICAS'!H212*'ESTIMATIVA DE HORAS TÉCNICAS'!F$941+'ESTIMATIVA DE HORAS TÉCNICAS'!I212*'ESTIMATIVA DE HORAS TÉCNICAS'!F$945+'ESTIMATIVA DE HORAS TÉCNICAS'!J212*'ESTIMATIVA DE HORAS TÉCNICAS'!F$946+'ESTIMATIVA DE HORAS TÉCNICAS'!K212*'ESTIMATIVA DE HORAS TÉCNICAS'!$F$944+'ESTIMATIVA DE HORAS TÉCNICAS'!L212*'ESTIMATIVA DE HORAS TÉCNICAS'!F$951+'ESTIMATIVA DE HORAS TÉCNICAS'!M212*'ESTIMATIVA DE HORAS TÉCNICAS'!F$950+'ESTIMATIVA DE HORAS TÉCNICAS'!N212*'ESTIMATIVA DE HORAS TÉCNICAS'!F$949+'ESTIMATIVA DE HORAS TÉCNICAS'!O212*'ESTIMATIVA DE HORAS TÉCNICAS'!F$948+'ESTIMATIVA DE HORAS TÉCNICAS'!P212*'ESTIMATIVA DE HORAS TÉCNICAS'!$F$947+'ESTIMATIVA DE HORAS TÉCNICAS'!Q212*'ESTIMATIVA DE HORAS TÉCNICAS'!F$953+'ESTIMATIVA DE HORAS TÉCNICAS'!R212*'ESTIMATIVA DE HORAS TÉCNICAS'!F$954</f>
        <v>3532.1300060672602</v>
      </c>
      <c r="E214" s="411">
        <f>'CALCULO DO FATO K'!D$10</f>
        <v>2.3175723620309046</v>
      </c>
      <c r="F214" s="714"/>
      <c r="G214" s="714"/>
      <c r="H214" s="411">
        <f>D214*E214</f>
        <v>8185.9668811615338</v>
      </c>
      <c r="I214" s="416"/>
      <c r="J214" s="767"/>
    </row>
    <row r="215" spans="1:10" ht="15.75">
      <c r="A215" s="433" t="s">
        <v>261</v>
      </c>
      <c r="B215" s="768" t="s">
        <v>101</v>
      </c>
      <c r="C215" s="410"/>
      <c r="D215" s="787">
        <f>'ESTIMATIVA DE HORAS TÉCNICAS'!F213*'ESTIMATIVA DE HORAS TÉCNICAS'!F$943+'ESTIMATIVA DE HORAS TÉCNICAS'!G213*'ESTIMATIVA DE HORAS TÉCNICAS'!F$942+'ESTIMATIVA DE HORAS TÉCNICAS'!H213*'ESTIMATIVA DE HORAS TÉCNICAS'!F$941+'ESTIMATIVA DE HORAS TÉCNICAS'!I213*'ESTIMATIVA DE HORAS TÉCNICAS'!F$945+'ESTIMATIVA DE HORAS TÉCNICAS'!J213*'ESTIMATIVA DE HORAS TÉCNICAS'!F$946+'ESTIMATIVA DE HORAS TÉCNICAS'!K213*'ESTIMATIVA DE HORAS TÉCNICAS'!$F$944+'ESTIMATIVA DE HORAS TÉCNICAS'!L213*'ESTIMATIVA DE HORAS TÉCNICAS'!F$951+'ESTIMATIVA DE HORAS TÉCNICAS'!M213*'ESTIMATIVA DE HORAS TÉCNICAS'!F$950+'ESTIMATIVA DE HORAS TÉCNICAS'!N213*'ESTIMATIVA DE HORAS TÉCNICAS'!F$949+'ESTIMATIVA DE HORAS TÉCNICAS'!O213*'ESTIMATIVA DE HORAS TÉCNICAS'!F$948+'ESTIMATIVA DE HORAS TÉCNICAS'!P213*'ESTIMATIVA DE HORAS TÉCNICAS'!$F$947+'ESTIMATIVA DE HORAS TÉCNICAS'!Q213*'ESTIMATIVA DE HORAS TÉCNICAS'!F$953+'ESTIMATIVA DE HORAS TÉCNICAS'!R213*'ESTIMATIVA DE HORAS TÉCNICAS'!F$954</f>
        <v>3532.1300060672602</v>
      </c>
      <c r="E215" s="411">
        <f>'CALCULO DO FATO K'!D$10</f>
        <v>2.3175723620309046</v>
      </c>
      <c r="F215" s="714"/>
      <c r="G215" s="714"/>
      <c r="H215" s="411">
        <f>D215*E215</f>
        <v>8185.9668811615338</v>
      </c>
      <c r="I215" s="416"/>
      <c r="J215" s="767"/>
    </row>
    <row r="216" spans="1:10" ht="15.75">
      <c r="A216" s="433" t="s">
        <v>262</v>
      </c>
      <c r="B216" s="768" t="s">
        <v>105</v>
      </c>
      <c r="C216" s="410"/>
      <c r="D216" s="787">
        <f>'ESTIMATIVA DE HORAS TÉCNICAS'!F214*'ESTIMATIVA DE HORAS TÉCNICAS'!F$943+'ESTIMATIVA DE HORAS TÉCNICAS'!G214*'ESTIMATIVA DE HORAS TÉCNICAS'!F$942+'ESTIMATIVA DE HORAS TÉCNICAS'!H214*'ESTIMATIVA DE HORAS TÉCNICAS'!F$941+'ESTIMATIVA DE HORAS TÉCNICAS'!I214*'ESTIMATIVA DE HORAS TÉCNICAS'!F$945+'ESTIMATIVA DE HORAS TÉCNICAS'!J214*'ESTIMATIVA DE HORAS TÉCNICAS'!F$946+'ESTIMATIVA DE HORAS TÉCNICAS'!K214*'ESTIMATIVA DE HORAS TÉCNICAS'!$F$944+'ESTIMATIVA DE HORAS TÉCNICAS'!L214*'ESTIMATIVA DE HORAS TÉCNICAS'!F$951+'ESTIMATIVA DE HORAS TÉCNICAS'!M214*'ESTIMATIVA DE HORAS TÉCNICAS'!F$950+'ESTIMATIVA DE HORAS TÉCNICAS'!N214*'ESTIMATIVA DE HORAS TÉCNICAS'!F$949+'ESTIMATIVA DE HORAS TÉCNICAS'!O214*'ESTIMATIVA DE HORAS TÉCNICAS'!F$948+'ESTIMATIVA DE HORAS TÉCNICAS'!P214*'ESTIMATIVA DE HORAS TÉCNICAS'!$F$947+'ESTIMATIVA DE HORAS TÉCNICAS'!Q214*'ESTIMATIVA DE HORAS TÉCNICAS'!F$953+'ESTIMATIVA DE HORAS TÉCNICAS'!R214*'ESTIMATIVA DE HORAS TÉCNICAS'!F$954</f>
        <v>4548.3699032127597</v>
      </c>
      <c r="E216" s="411">
        <f>'CALCULO DO FATO K'!D$10</f>
        <v>2.3175723620309046</v>
      </c>
      <c r="F216" s="714"/>
      <c r="G216" s="714"/>
      <c r="H216" s="411">
        <f>D216*E216</f>
        <v>10541.176379979071</v>
      </c>
      <c r="I216" s="416"/>
      <c r="J216" s="767"/>
    </row>
    <row r="217" spans="1:10" ht="15.75">
      <c r="A217" s="433" t="s">
        <v>263</v>
      </c>
      <c r="B217" s="768" t="s">
        <v>213</v>
      </c>
      <c r="C217" s="410"/>
      <c r="D217" s="787">
        <f>'ESTIMATIVA DE HORAS TÉCNICAS'!F215*'ESTIMATIVA DE HORAS TÉCNICAS'!F$943+'ESTIMATIVA DE HORAS TÉCNICAS'!G215*'ESTIMATIVA DE HORAS TÉCNICAS'!F$942+'ESTIMATIVA DE HORAS TÉCNICAS'!H215*'ESTIMATIVA DE HORAS TÉCNICAS'!F$941+'ESTIMATIVA DE HORAS TÉCNICAS'!I215*'ESTIMATIVA DE HORAS TÉCNICAS'!F$945+'ESTIMATIVA DE HORAS TÉCNICAS'!J215*'ESTIMATIVA DE HORAS TÉCNICAS'!F$946+'ESTIMATIVA DE HORAS TÉCNICAS'!K215*'ESTIMATIVA DE HORAS TÉCNICAS'!$F$944+'ESTIMATIVA DE HORAS TÉCNICAS'!L215*'ESTIMATIVA DE HORAS TÉCNICAS'!F$951+'ESTIMATIVA DE HORAS TÉCNICAS'!M215*'ESTIMATIVA DE HORAS TÉCNICAS'!F$950+'ESTIMATIVA DE HORAS TÉCNICAS'!N215*'ESTIMATIVA DE HORAS TÉCNICAS'!F$949+'ESTIMATIVA DE HORAS TÉCNICAS'!O215*'ESTIMATIVA DE HORAS TÉCNICAS'!F$948+'ESTIMATIVA DE HORAS TÉCNICAS'!P215*'ESTIMATIVA DE HORAS TÉCNICAS'!$F$947+'ESTIMATIVA DE HORAS TÉCNICAS'!Q215*'ESTIMATIVA DE HORAS TÉCNICAS'!F$953+'ESTIMATIVA DE HORAS TÉCNICAS'!R215*'ESTIMATIVA DE HORAS TÉCNICAS'!F$954</f>
        <v>4029.770208887091</v>
      </c>
      <c r="E217" s="411">
        <f>'CALCULO DO FATO K'!D$10</f>
        <v>2.3175723620309046</v>
      </c>
      <c r="F217" s="714"/>
      <c r="G217" s="714"/>
      <c r="H217" s="411">
        <f>D217*E217</f>
        <v>9339.2840614522265</v>
      </c>
      <c r="I217" s="416"/>
      <c r="J217" s="767"/>
    </row>
    <row r="218" spans="1:10" ht="15.75">
      <c r="A218" s="433" t="s">
        <v>264</v>
      </c>
      <c r="B218" s="428" t="s">
        <v>152</v>
      </c>
      <c r="C218" s="410"/>
      <c r="D218" s="787">
        <f>'ESTIMATIVA DE HORAS TÉCNICAS'!F216*'ESTIMATIVA DE HORAS TÉCNICAS'!F$943+'ESTIMATIVA DE HORAS TÉCNICAS'!G216*'ESTIMATIVA DE HORAS TÉCNICAS'!F$942+'ESTIMATIVA DE HORAS TÉCNICAS'!H216*'ESTIMATIVA DE HORAS TÉCNICAS'!F$941+'ESTIMATIVA DE HORAS TÉCNICAS'!I216*'ESTIMATIVA DE HORAS TÉCNICAS'!F$945+'ESTIMATIVA DE HORAS TÉCNICAS'!J216*'ESTIMATIVA DE HORAS TÉCNICAS'!F$946+'ESTIMATIVA DE HORAS TÉCNICAS'!K216*'ESTIMATIVA DE HORAS TÉCNICAS'!$F$944+'ESTIMATIVA DE HORAS TÉCNICAS'!L216*'ESTIMATIVA DE HORAS TÉCNICAS'!F$951+'ESTIMATIVA DE HORAS TÉCNICAS'!M216*'ESTIMATIVA DE HORAS TÉCNICAS'!F$950+'ESTIMATIVA DE HORAS TÉCNICAS'!N216*'ESTIMATIVA DE HORAS TÉCNICAS'!F$949+'ESTIMATIVA DE HORAS TÉCNICAS'!O216*'ESTIMATIVA DE HORAS TÉCNICAS'!F$948+'ESTIMATIVA DE HORAS TÉCNICAS'!P216*'ESTIMATIVA DE HORAS TÉCNICAS'!$F$947+'ESTIMATIVA DE HORAS TÉCNICAS'!Q216*'ESTIMATIVA DE HORAS TÉCNICAS'!F$953+'ESTIMATIVA DE HORAS TÉCNICAS'!R216*'ESTIMATIVA DE HORAS TÉCNICAS'!F$954</f>
        <v>3532.1300060672602</v>
      </c>
      <c r="E218" s="411">
        <f>'CALCULO DO FATO K'!D$10</f>
        <v>2.3175723620309046</v>
      </c>
      <c r="F218" s="714"/>
      <c r="G218" s="714"/>
      <c r="H218" s="411">
        <f>D218*E218</f>
        <v>8185.9668811615338</v>
      </c>
      <c r="I218" s="416">
        <f>SUM(H214:H218)</f>
        <v>44438.361084915901</v>
      </c>
      <c r="J218" s="767"/>
    </row>
    <row r="219" spans="1:10" s="532" customFormat="1" ht="15.75">
      <c r="A219" s="433"/>
      <c r="B219" s="428"/>
      <c r="C219" s="410"/>
      <c r="D219" s="787"/>
      <c r="E219" s="411"/>
      <c r="F219" s="714"/>
      <c r="G219" s="714"/>
      <c r="H219" s="411"/>
      <c r="I219" s="416"/>
      <c r="J219" s="767"/>
    </row>
    <row r="220" spans="1:10" ht="15.75">
      <c r="A220" s="426"/>
      <c r="B220" s="768"/>
      <c r="C220" s="409"/>
      <c r="D220" s="787"/>
      <c r="E220" s="714"/>
      <c r="F220" s="714"/>
      <c r="G220" s="714"/>
      <c r="H220" s="714"/>
      <c r="I220" s="416"/>
      <c r="J220" s="767"/>
    </row>
    <row r="221" spans="1:10" ht="15.75">
      <c r="A221" s="363" t="s">
        <v>265</v>
      </c>
      <c r="B221" s="418" t="s">
        <v>266</v>
      </c>
      <c r="C221" s="474"/>
      <c r="D221" s="480"/>
      <c r="E221" s="475"/>
      <c r="F221" s="475"/>
      <c r="G221" s="475"/>
      <c r="H221" s="475"/>
      <c r="I221" s="476"/>
      <c r="J221" s="767"/>
    </row>
    <row r="222" spans="1:10" ht="15.75">
      <c r="A222" s="433" t="s">
        <v>267</v>
      </c>
      <c r="B222" s="428" t="s">
        <v>99</v>
      </c>
      <c r="C222" s="409"/>
      <c r="D222" s="787">
        <f>'ESTIMATIVA DE HORAS TÉCNICAS'!F220*'ESTIMATIVA DE HORAS TÉCNICAS'!F$943+'ESTIMATIVA DE HORAS TÉCNICAS'!G220*'ESTIMATIVA DE HORAS TÉCNICAS'!F$942+'ESTIMATIVA DE HORAS TÉCNICAS'!H220*'ESTIMATIVA DE HORAS TÉCNICAS'!F$941+'ESTIMATIVA DE HORAS TÉCNICAS'!I220*'ESTIMATIVA DE HORAS TÉCNICAS'!F$945+'ESTIMATIVA DE HORAS TÉCNICAS'!J220*'ESTIMATIVA DE HORAS TÉCNICAS'!F$946+'ESTIMATIVA DE HORAS TÉCNICAS'!K220*'ESTIMATIVA DE HORAS TÉCNICAS'!$F$944+'ESTIMATIVA DE HORAS TÉCNICAS'!L220*'ESTIMATIVA DE HORAS TÉCNICAS'!F$951+'ESTIMATIVA DE HORAS TÉCNICAS'!M220*'ESTIMATIVA DE HORAS TÉCNICAS'!F$950+'ESTIMATIVA DE HORAS TÉCNICAS'!N220*'ESTIMATIVA DE HORAS TÉCNICAS'!F$949+'ESTIMATIVA DE HORAS TÉCNICAS'!O220*'ESTIMATIVA DE HORAS TÉCNICAS'!F$948+'ESTIMATIVA DE HORAS TÉCNICAS'!P220*'ESTIMATIVA DE HORAS TÉCNICAS'!$F$947+'ESTIMATIVA DE HORAS TÉCNICAS'!Q220*'ESTIMATIVA DE HORAS TÉCNICAS'!F$953+'ESTIMATIVA DE HORAS TÉCNICAS'!R220*'ESTIMATIVA DE HORAS TÉCNICAS'!F$954</f>
        <v>1861.0846855136947</v>
      </c>
      <c r="E222" s="411">
        <f>'CALCULO DO FATO K'!D$10</f>
        <v>2.3175723620309046</v>
      </c>
      <c r="F222" s="714"/>
      <c r="G222" s="714"/>
      <c r="H222" s="411">
        <f>D222*E222</f>
        <v>4313.1984305455162</v>
      </c>
      <c r="I222" s="416"/>
      <c r="J222" s="767"/>
    </row>
    <row r="223" spans="1:10" ht="15.75">
      <c r="A223" s="433" t="s">
        <v>268</v>
      </c>
      <c r="B223" s="768" t="s">
        <v>105</v>
      </c>
      <c r="C223" s="409"/>
      <c r="D223" s="787">
        <f>'ESTIMATIVA DE HORAS TÉCNICAS'!F221*'ESTIMATIVA DE HORAS TÉCNICAS'!F$943+'ESTIMATIVA DE HORAS TÉCNICAS'!G221*'ESTIMATIVA DE HORAS TÉCNICAS'!F$942+'ESTIMATIVA DE HORAS TÉCNICAS'!H221*'ESTIMATIVA DE HORAS TÉCNICAS'!F$941+'ESTIMATIVA DE HORAS TÉCNICAS'!I221*'ESTIMATIVA DE HORAS TÉCNICAS'!F$945+'ESTIMATIVA DE HORAS TÉCNICAS'!J221*'ESTIMATIVA DE HORAS TÉCNICAS'!F$946+'ESTIMATIVA DE HORAS TÉCNICAS'!K221*'ESTIMATIVA DE HORAS TÉCNICAS'!$F$944+'ESTIMATIVA DE HORAS TÉCNICAS'!L221*'ESTIMATIVA DE HORAS TÉCNICAS'!F$951+'ESTIMATIVA DE HORAS TÉCNICAS'!M221*'ESTIMATIVA DE HORAS TÉCNICAS'!F$950+'ESTIMATIVA DE HORAS TÉCNICAS'!N221*'ESTIMATIVA DE HORAS TÉCNICAS'!F$949+'ESTIMATIVA DE HORAS TÉCNICAS'!O221*'ESTIMATIVA DE HORAS TÉCNICAS'!F$948+'ESTIMATIVA DE HORAS TÉCNICAS'!P221*'ESTIMATIVA DE HORAS TÉCNICAS'!$F$947+'ESTIMATIVA DE HORAS TÉCNICAS'!Q221*'ESTIMATIVA DE HORAS TÉCNICAS'!F$953+'ESTIMATIVA DE HORAS TÉCNICAS'!R221*'ESTIMATIVA DE HORAS TÉCNICAS'!F$954</f>
        <v>2488.5927925286028</v>
      </c>
      <c r="E223" s="411">
        <f>'CALCULO DO FATO K'!D$10</f>
        <v>2.3175723620309046</v>
      </c>
      <c r="F223" s="714"/>
      <c r="G223" s="714"/>
      <c r="H223" s="411">
        <f>D223*E223</f>
        <v>5767.4938763135988</v>
      </c>
      <c r="I223" s="416"/>
      <c r="J223" s="767"/>
    </row>
    <row r="224" spans="1:10" ht="15.75">
      <c r="A224" s="433" t="s">
        <v>269</v>
      </c>
      <c r="B224" s="768" t="s">
        <v>213</v>
      </c>
      <c r="C224" s="409"/>
      <c r="D224" s="787">
        <f>'ESTIMATIVA DE HORAS TÉCNICAS'!F222*'ESTIMATIVA DE HORAS TÉCNICAS'!F$943+'ESTIMATIVA DE HORAS TÉCNICAS'!G222*'ESTIMATIVA DE HORAS TÉCNICAS'!F$942+'ESTIMATIVA DE HORAS TÉCNICAS'!H222*'ESTIMATIVA DE HORAS TÉCNICAS'!F$941+'ESTIMATIVA DE HORAS TÉCNICAS'!I222*'ESTIMATIVA DE HORAS TÉCNICAS'!F$945+'ESTIMATIVA DE HORAS TÉCNICAS'!J222*'ESTIMATIVA DE HORAS TÉCNICAS'!F$946+'ESTIMATIVA DE HORAS TÉCNICAS'!K222*'ESTIMATIVA DE HORAS TÉCNICAS'!$F$944+'ESTIMATIVA DE HORAS TÉCNICAS'!L222*'ESTIMATIVA DE HORAS TÉCNICAS'!F$951+'ESTIMATIVA DE HORAS TÉCNICAS'!M222*'ESTIMATIVA DE HORAS TÉCNICAS'!F$950+'ESTIMATIVA DE HORAS TÉCNICAS'!N222*'ESTIMATIVA DE HORAS TÉCNICAS'!F$949+'ESTIMATIVA DE HORAS TÉCNICAS'!O222*'ESTIMATIVA DE HORAS TÉCNICAS'!F$948+'ESTIMATIVA DE HORAS TÉCNICAS'!P222*'ESTIMATIVA DE HORAS TÉCNICAS'!$F$947+'ESTIMATIVA DE HORAS TÉCNICAS'!Q222*'ESTIMATIVA DE HORAS TÉCNICAS'!F$953+'ESTIMATIVA DE HORAS TÉCNICAS'!R222*'ESTIMATIVA DE HORAS TÉCNICAS'!F$954</f>
        <v>1791.3675093898071</v>
      </c>
      <c r="E224" s="411">
        <f>'CALCULO DO FATO K'!D$10</f>
        <v>2.3175723620309046</v>
      </c>
      <c r="F224" s="714"/>
      <c r="G224" s="714"/>
      <c r="H224" s="411">
        <f>D224*E224</f>
        <v>4151.623830001954</v>
      </c>
      <c r="I224" s="416"/>
      <c r="J224" s="767"/>
    </row>
    <row r="225" spans="1:10" ht="15.75">
      <c r="A225" s="433" t="s">
        <v>270</v>
      </c>
      <c r="B225" s="768" t="s">
        <v>152</v>
      </c>
      <c r="C225" s="409"/>
      <c r="D225" s="787">
        <f>'ESTIMATIVA DE HORAS TÉCNICAS'!F223*'ESTIMATIVA DE HORAS TÉCNICAS'!F$943+'ESTIMATIVA DE HORAS TÉCNICAS'!G223*'ESTIMATIVA DE HORAS TÉCNICAS'!F$942+'ESTIMATIVA DE HORAS TÉCNICAS'!H223*'ESTIMATIVA DE HORAS TÉCNICAS'!F$941+'ESTIMATIVA DE HORAS TÉCNICAS'!I223*'ESTIMATIVA DE HORAS TÉCNICAS'!F$945+'ESTIMATIVA DE HORAS TÉCNICAS'!J223*'ESTIMATIVA DE HORAS TÉCNICAS'!F$946+'ESTIMATIVA DE HORAS TÉCNICAS'!K223*'ESTIMATIVA DE HORAS TÉCNICAS'!$F$944+'ESTIMATIVA DE HORAS TÉCNICAS'!L223*'ESTIMATIVA DE HORAS TÉCNICAS'!F$951+'ESTIMATIVA DE HORAS TÉCNICAS'!M223*'ESTIMATIVA DE HORAS TÉCNICAS'!F$950+'ESTIMATIVA DE HORAS TÉCNICAS'!N223*'ESTIMATIVA DE HORAS TÉCNICAS'!F$949+'ESTIMATIVA DE HORAS TÉCNICAS'!O223*'ESTIMATIVA DE HORAS TÉCNICAS'!F$948+'ESTIMATIVA DE HORAS TÉCNICAS'!P223*'ESTIMATIVA DE HORAS TÉCNICAS'!$F$947+'ESTIMATIVA DE HORAS TÉCNICAS'!Q223*'ESTIMATIVA DE HORAS TÉCNICAS'!F$953+'ESTIMATIVA DE HORAS TÉCNICAS'!R223*'ESTIMATIVA DE HORAS TÉCNICAS'!F$954</f>
        <v>1577.4059960418351</v>
      </c>
      <c r="E225" s="411">
        <f>'CALCULO DO FATO K'!D$10</f>
        <v>2.3175723620309046</v>
      </c>
      <c r="F225" s="714"/>
      <c r="G225" s="714"/>
      <c r="H225" s="411">
        <f>D225*E225</f>
        <v>3655.7525401283874</v>
      </c>
      <c r="I225" s="416">
        <f>SUM(H222:H225)</f>
        <v>17888.068676989456</v>
      </c>
      <c r="J225" s="767"/>
    </row>
    <row r="226" spans="1:10" s="532" customFormat="1" ht="15.75">
      <c r="A226" s="433"/>
      <c r="B226" s="768"/>
      <c r="C226" s="409"/>
      <c r="D226" s="787"/>
      <c r="E226" s="411"/>
      <c r="F226" s="714"/>
      <c r="G226" s="714"/>
      <c r="H226" s="411"/>
      <c r="I226" s="416"/>
      <c r="J226" s="767"/>
    </row>
    <row r="227" spans="1:10" s="368" customFormat="1" ht="15.75">
      <c r="A227" s="426"/>
      <c r="B227" s="768"/>
      <c r="C227" s="409"/>
      <c r="D227" s="787"/>
      <c r="E227" s="411"/>
      <c r="F227" s="714"/>
      <c r="G227" s="714"/>
      <c r="H227" s="411"/>
      <c r="I227" s="416"/>
      <c r="J227" s="767"/>
    </row>
    <row r="228" spans="1:10" s="368" customFormat="1" ht="15.75">
      <c r="A228" s="363" t="s">
        <v>271</v>
      </c>
      <c r="B228" s="418" t="s">
        <v>272</v>
      </c>
      <c r="C228" s="474"/>
      <c r="D228" s="480"/>
      <c r="E228" s="480"/>
      <c r="F228" s="475"/>
      <c r="G228" s="475"/>
      <c r="H228" s="480"/>
      <c r="I228" s="476"/>
      <c r="J228" s="767"/>
    </row>
    <row r="229" spans="1:10" s="368" customFormat="1" ht="15.75">
      <c r="A229" s="433" t="s">
        <v>273</v>
      </c>
      <c r="B229" s="428" t="s">
        <v>99</v>
      </c>
      <c r="C229" s="409"/>
      <c r="D229" s="787">
        <f>'ESTIMATIVA DE HORAS TÉCNICAS'!F227*'ESTIMATIVA DE HORAS TÉCNICAS'!F$943+'ESTIMATIVA DE HORAS TÉCNICAS'!G227*'ESTIMATIVA DE HORAS TÉCNICAS'!F$942+'ESTIMATIVA DE HORAS TÉCNICAS'!H227*'ESTIMATIVA DE HORAS TÉCNICAS'!F$941+'ESTIMATIVA DE HORAS TÉCNICAS'!I227*'ESTIMATIVA DE HORAS TÉCNICAS'!F$945+'ESTIMATIVA DE HORAS TÉCNICAS'!J227*'ESTIMATIVA DE HORAS TÉCNICAS'!F$946+'ESTIMATIVA DE HORAS TÉCNICAS'!K227*'ESTIMATIVA DE HORAS TÉCNICAS'!$F$944+'ESTIMATIVA DE HORAS TÉCNICAS'!L227*'ESTIMATIVA DE HORAS TÉCNICAS'!F$951+'ESTIMATIVA DE HORAS TÉCNICAS'!M227*'ESTIMATIVA DE HORAS TÉCNICAS'!F$950+'ESTIMATIVA DE HORAS TÉCNICAS'!N227*'ESTIMATIVA DE HORAS TÉCNICAS'!F$949+'ESTIMATIVA DE HORAS TÉCNICAS'!O227*'ESTIMATIVA DE HORAS TÉCNICAS'!F$948+'ESTIMATIVA DE HORAS TÉCNICAS'!P227*'ESTIMATIVA DE HORAS TÉCNICAS'!$F$947+'ESTIMATIVA DE HORAS TÉCNICAS'!Q227*'ESTIMATIVA DE HORAS TÉCNICAS'!F$953+'ESTIMATIVA DE HORAS TÉCNICAS'!R227*'ESTIMATIVA DE HORAS TÉCNICAS'!F$954</f>
        <v>1211.7458864266728</v>
      </c>
      <c r="E229" s="411">
        <f>'CALCULO DO FATO K'!D$10</f>
        <v>2.3175723620309046</v>
      </c>
      <c r="F229" s="714"/>
      <c r="G229" s="714"/>
      <c r="H229" s="411">
        <f>D229*E229</f>
        <v>2808.3087761870961</v>
      </c>
      <c r="I229" s="416"/>
      <c r="J229" s="767"/>
    </row>
    <row r="230" spans="1:10" s="368" customFormat="1" ht="15.75">
      <c r="A230" s="433" t="s">
        <v>274</v>
      </c>
      <c r="B230" s="768" t="s">
        <v>105</v>
      </c>
      <c r="C230" s="409"/>
      <c r="D230" s="787">
        <f>'ESTIMATIVA DE HORAS TÉCNICAS'!F228*'ESTIMATIVA DE HORAS TÉCNICAS'!F$943+'ESTIMATIVA DE HORAS TÉCNICAS'!G228*'ESTIMATIVA DE HORAS TÉCNICAS'!F$942+'ESTIMATIVA DE HORAS TÉCNICAS'!H228*'ESTIMATIVA DE HORAS TÉCNICAS'!F$941+'ESTIMATIVA DE HORAS TÉCNICAS'!I228*'ESTIMATIVA DE HORAS TÉCNICAS'!F$945+'ESTIMATIVA DE HORAS TÉCNICAS'!J228*'ESTIMATIVA DE HORAS TÉCNICAS'!F$946+'ESTIMATIVA DE HORAS TÉCNICAS'!K228*'ESTIMATIVA DE HORAS TÉCNICAS'!$F$944+'ESTIMATIVA DE HORAS TÉCNICAS'!L228*'ESTIMATIVA DE HORAS TÉCNICAS'!F$951+'ESTIMATIVA DE HORAS TÉCNICAS'!M228*'ESTIMATIVA DE HORAS TÉCNICAS'!F$950+'ESTIMATIVA DE HORAS TÉCNICAS'!N228*'ESTIMATIVA DE HORAS TÉCNICAS'!F$949+'ESTIMATIVA DE HORAS TÉCNICAS'!O228*'ESTIMATIVA DE HORAS TÉCNICAS'!F$948+'ESTIMATIVA DE HORAS TÉCNICAS'!P228*'ESTIMATIVA DE HORAS TÉCNICAS'!$F$947+'ESTIMATIVA DE HORAS TÉCNICAS'!Q228*'ESTIMATIVA DE HORAS TÉCNICAS'!F$953+'ESTIMATIVA DE HORAS TÉCNICAS'!R228*'ESTIMATIVA DE HORAS TÉCNICAS'!F$954</f>
        <v>2122.9326829134407</v>
      </c>
      <c r="E230" s="411">
        <f>'CALCULO DO FATO K'!D$10</f>
        <v>2.3175723620309046</v>
      </c>
      <c r="F230" s="714"/>
      <c r="G230" s="714"/>
      <c r="H230" s="411">
        <f>D230*E230</f>
        <v>4920.0501123723079</v>
      </c>
      <c r="I230" s="416"/>
      <c r="J230" s="767"/>
    </row>
    <row r="231" spans="1:10" s="368" customFormat="1" ht="15.75">
      <c r="A231" s="433" t="s">
        <v>275</v>
      </c>
      <c r="B231" s="768" t="s">
        <v>213</v>
      </c>
      <c r="C231" s="409"/>
      <c r="D231" s="787">
        <f>'ESTIMATIVA DE HORAS TÉCNICAS'!F229*'ESTIMATIVA DE HORAS TÉCNICAS'!F$943+'ESTIMATIVA DE HORAS TÉCNICAS'!G229*'ESTIMATIVA DE HORAS TÉCNICAS'!F$942+'ESTIMATIVA DE HORAS TÉCNICAS'!H229*'ESTIMATIVA DE HORAS TÉCNICAS'!F$941+'ESTIMATIVA DE HORAS TÉCNICAS'!I229*'ESTIMATIVA DE HORAS TÉCNICAS'!F$945+'ESTIMATIVA DE HORAS TÉCNICAS'!J229*'ESTIMATIVA DE HORAS TÉCNICAS'!F$946+'ESTIMATIVA DE HORAS TÉCNICAS'!K229*'ESTIMATIVA DE HORAS TÉCNICAS'!$F$944+'ESTIMATIVA DE HORAS TÉCNICAS'!L229*'ESTIMATIVA DE HORAS TÉCNICAS'!F$951+'ESTIMATIVA DE HORAS TÉCNICAS'!M229*'ESTIMATIVA DE HORAS TÉCNICAS'!F$950+'ESTIMATIVA DE HORAS TÉCNICAS'!N229*'ESTIMATIVA DE HORAS TÉCNICAS'!F$949+'ESTIMATIVA DE HORAS TÉCNICAS'!O229*'ESTIMATIVA DE HORAS TÉCNICAS'!F$948+'ESTIMATIVA DE HORAS TÉCNICAS'!P229*'ESTIMATIVA DE HORAS TÉCNICAS'!$F$947+'ESTIMATIVA DE HORAS TÉCNICAS'!Q229*'ESTIMATIVA DE HORAS TÉCNICAS'!F$953+'ESTIMATIVA DE HORAS TÉCNICAS'!R229*'ESTIMATIVA DE HORAS TÉCNICAS'!F$954</f>
        <v>1899.3398713740899</v>
      </c>
      <c r="E231" s="411">
        <f>'CALCULO DO FATO K'!D$10</f>
        <v>2.3175723620309046</v>
      </c>
      <c r="F231" s="714"/>
      <c r="G231" s="714"/>
      <c r="H231" s="411">
        <f>D231*E231</f>
        <v>4401.8575919999239</v>
      </c>
      <c r="I231" s="416">
        <f>SUM(H229:H231)</f>
        <v>12130.216480559327</v>
      </c>
      <c r="J231" s="767"/>
    </row>
    <row r="232" spans="1:10" s="532" customFormat="1" ht="15.75">
      <c r="A232" s="433"/>
      <c r="B232" s="768"/>
      <c r="C232" s="409"/>
      <c r="D232" s="787"/>
      <c r="E232" s="411"/>
      <c r="F232" s="714"/>
      <c r="G232" s="714"/>
      <c r="H232" s="411"/>
      <c r="I232" s="416"/>
      <c r="J232" s="767"/>
    </row>
    <row r="233" spans="1:10" s="368" customFormat="1" ht="15.75">
      <c r="A233" s="426"/>
      <c r="B233" s="768"/>
      <c r="C233" s="409"/>
      <c r="D233" s="787"/>
      <c r="E233" s="714"/>
      <c r="F233" s="714"/>
      <c r="G233" s="714"/>
      <c r="H233" s="714"/>
      <c r="I233" s="416"/>
      <c r="J233" s="767"/>
    </row>
    <row r="234" spans="1:10" ht="15.75">
      <c r="A234" s="363" t="s">
        <v>276</v>
      </c>
      <c r="B234" s="427" t="s">
        <v>277</v>
      </c>
      <c r="C234" s="474"/>
      <c r="D234" s="480"/>
      <c r="E234" s="475"/>
      <c r="F234" s="475"/>
      <c r="G234" s="475"/>
      <c r="H234" s="475"/>
      <c r="I234" s="476"/>
      <c r="J234" s="767"/>
    </row>
    <row r="235" spans="1:10" ht="15.75">
      <c r="A235" s="433" t="s">
        <v>278</v>
      </c>
      <c r="B235" s="428" t="s">
        <v>99</v>
      </c>
      <c r="C235" s="409"/>
      <c r="D235" s="787">
        <f>'ESTIMATIVA DE HORAS TÉCNICAS'!F233*'ESTIMATIVA DE HORAS TÉCNICAS'!F$943+'ESTIMATIVA DE HORAS TÉCNICAS'!G233*'ESTIMATIVA DE HORAS TÉCNICAS'!F$942+'ESTIMATIVA DE HORAS TÉCNICAS'!H233*'ESTIMATIVA DE HORAS TÉCNICAS'!F$941+'ESTIMATIVA DE HORAS TÉCNICAS'!I233*'ESTIMATIVA DE HORAS TÉCNICAS'!F$945+'ESTIMATIVA DE HORAS TÉCNICAS'!J233*'ESTIMATIVA DE HORAS TÉCNICAS'!F$946+'ESTIMATIVA DE HORAS TÉCNICAS'!K233*'ESTIMATIVA DE HORAS TÉCNICAS'!$F$944+'ESTIMATIVA DE HORAS TÉCNICAS'!L233*'ESTIMATIVA DE HORAS TÉCNICAS'!F$951+'ESTIMATIVA DE HORAS TÉCNICAS'!M233*'ESTIMATIVA DE HORAS TÉCNICAS'!F$950+'ESTIMATIVA DE HORAS TÉCNICAS'!N233*'ESTIMATIVA DE HORAS TÉCNICAS'!F$949+'ESTIMATIVA DE HORAS TÉCNICAS'!O233*'ESTIMATIVA DE HORAS TÉCNICAS'!F$948+'ESTIMATIVA DE HORAS TÉCNICAS'!P233*'ESTIMATIVA DE HORAS TÉCNICAS'!$F$947+'ESTIMATIVA DE HORAS TÉCNICAS'!Q233*'ESTIMATIVA DE HORAS TÉCNICAS'!F$953+'ESTIMATIVA DE HORAS TÉCNICAS'!R233*'ESTIMATIVA DE HORAS TÉCNICAS'!F$954</f>
        <v>990.39490407950996</v>
      </c>
      <c r="E235" s="411">
        <f>'CALCULO DO FATO K'!D$10</f>
        <v>2.3175723620309046</v>
      </c>
      <c r="F235" s="714"/>
      <c r="G235" s="714"/>
      <c r="H235" s="411">
        <f>D235*E235</f>
        <v>2295.3118571909208</v>
      </c>
      <c r="I235" s="416"/>
      <c r="J235" s="767"/>
    </row>
    <row r="236" spans="1:10" ht="15.75">
      <c r="A236" s="433" t="s">
        <v>279</v>
      </c>
      <c r="B236" s="768" t="s">
        <v>101</v>
      </c>
      <c r="C236" s="409"/>
      <c r="D236" s="787">
        <f>'ESTIMATIVA DE HORAS TÉCNICAS'!F234*'ESTIMATIVA DE HORAS TÉCNICAS'!F$943+'ESTIMATIVA DE HORAS TÉCNICAS'!G234*'ESTIMATIVA DE HORAS TÉCNICAS'!F$942+'ESTIMATIVA DE HORAS TÉCNICAS'!H234*'ESTIMATIVA DE HORAS TÉCNICAS'!F$941+'ESTIMATIVA DE HORAS TÉCNICAS'!I234*'ESTIMATIVA DE HORAS TÉCNICAS'!F$945+'ESTIMATIVA DE HORAS TÉCNICAS'!J234*'ESTIMATIVA DE HORAS TÉCNICAS'!F$946+'ESTIMATIVA DE HORAS TÉCNICAS'!K234*'ESTIMATIVA DE HORAS TÉCNICAS'!$F$944+'ESTIMATIVA DE HORAS TÉCNICAS'!L234*'ESTIMATIVA DE HORAS TÉCNICAS'!F$951+'ESTIMATIVA DE HORAS TÉCNICAS'!M234*'ESTIMATIVA DE HORAS TÉCNICAS'!F$950+'ESTIMATIVA DE HORAS TÉCNICAS'!N234*'ESTIMATIVA DE HORAS TÉCNICAS'!F$949+'ESTIMATIVA DE HORAS TÉCNICAS'!O234*'ESTIMATIVA DE HORAS TÉCNICAS'!F$948+'ESTIMATIVA DE HORAS TÉCNICAS'!P234*'ESTIMATIVA DE HORAS TÉCNICAS'!$F$947+'ESTIMATIVA DE HORAS TÉCNICAS'!Q234*'ESTIMATIVA DE HORAS TÉCNICAS'!F$953+'ESTIMATIVA DE HORAS TÉCNICAS'!R234*'ESTIMATIVA DE HORAS TÉCNICAS'!F$954</f>
        <v>738.01830058939083</v>
      </c>
      <c r="E236" s="411">
        <f>'CALCULO DO FATO K'!D$10</f>
        <v>2.3175723620309046</v>
      </c>
      <c r="F236" s="714"/>
      <c r="G236" s="714"/>
      <c r="H236" s="411">
        <f>D236*E236</f>
        <v>1710.4108161189886</v>
      </c>
      <c r="I236" s="416"/>
      <c r="J236" s="767"/>
    </row>
    <row r="237" spans="1:10" ht="15.75">
      <c r="A237" s="433" t="s">
        <v>280</v>
      </c>
      <c r="B237" s="768" t="s">
        <v>105</v>
      </c>
      <c r="C237" s="409"/>
      <c r="D237" s="787">
        <f>'ESTIMATIVA DE HORAS TÉCNICAS'!F235*'ESTIMATIVA DE HORAS TÉCNICAS'!F$943+'ESTIMATIVA DE HORAS TÉCNICAS'!G235*'ESTIMATIVA DE HORAS TÉCNICAS'!F$942+'ESTIMATIVA DE HORAS TÉCNICAS'!H235*'ESTIMATIVA DE HORAS TÉCNICAS'!F$941+'ESTIMATIVA DE HORAS TÉCNICAS'!I235*'ESTIMATIVA DE HORAS TÉCNICAS'!F$945+'ESTIMATIVA DE HORAS TÉCNICAS'!J235*'ESTIMATIVA DE HORAS TÉCNICAS'!F$946+'ESTIMATIVA DE HORAS TÉCNICAS'!K235*'ESTIMATIVA DE HORAS TÉCNICAS'!$F$944+'ESTIMATIVA DE HORAS TÉCNICAS'!L235*'ESTIMATIVA DE HORAS TÉCNICAS'!F$951+'ESTIMATIVA DE HORAS TÉCNICAS'!M235*'ESTIMATIVA DE HORAS TÉCNICAS'!F$950+'ESTIMATIVA DE HORAS TÉCNICAS'!N235*'ESTIMATIVA DE HORAS TÉCNICAS'!F$949+'ESTIMATIVA DE HORAS TÉCNICAS'!O235*'ESTIMATIVA DE HORAS TÉCNICAS'!F$948+'ESTIMATIVA DE HORAS TÉCNICAS'!P235*'ESTIMATIVA DE HORAS TÉCNICAS'!$F$947+'ESTIMATIVA DE HORAS TÉCNICAS'!Q235*'ESTIMATIVA DE HORAS TÉCNICAS'!F$953+'ESTIMATIVA DE HORAS TÉCNICAS'!R235*'ESTIMATIVA DE HORAS TÉCNICAS'!F$954</f>
        <v>962.75119207211355</v>
      </c>
      <c r="E237" s="411">
        <f>'CALCULO DO FATO K'!D$10</f>
        <v>2.3175723620309046</v>
      </c>
      <c r="F237" s="714"/>
      <c r="G237" s="714"/>
      <c r="H237" s="411">
        <f>D237*E237</f>
        <v>2231.2455542586372</v>
      </c>
      <c r="I237" s="416"/>
      <c r="J237" s="767"/>
    </row>
    <row r="238" spans="1:10" ht="15.75">
      <c r="A238" s="433" t="s">
        <v>281</v>
      </c>
      <c r="B238" s="768" t="s">
        <v>213</v>
      </c>
      <c r="C238" s="409"/>
      <c r="D238" s="787">
        <f>'ESTIMATIVA DE HORAS TÉCNICAS'!F236*'ESTIMATIVA DE HORAS TÉCNICAS'!F$943+'ESTIMATIVA DE HORAS TÉCNICAS'!G236*'ESTIMATIVA DE HORAS TÉCNICAS'!F$942+'ESTIMATIVA DE HORAS TÉCNICAS'!H236*'ESTIMATIVA DE HORAS TÉCNICAS'!F$941+'ESTIMATIVA DE HORAS TÉCNICAS'!I236*'ESTIMATIVA DE HORAS TÉCNICAS'!F$945+'ESTIMATIVA DE HORAS TÉCNICAS'!J236*'ESTIMATIVA DE HORAS TÉCNICAS'!F$946+'ESTIMATIVA DE HORAS TÉCNICAS'!K236*'ESTIMATIVA DE HORAS TÉCNICAS'!$F$944+'ESTIMATIVA DE HORAS TÉCNICAS'!L236*'ESTIMATIVA DE HORAS TÉCNICAS'!F$951+'ESTIMATIVA DE HORAS TÉCNICAS'!M236*'ESTIMATIVA DE HORAS TÉCNICAS'!F$950+'ESTIMATIVA DE HORAS TÉCNICAS'!N236*'ESTIMATIVA DE HORAS TÉCNICAS'!F$949+'ESTIMATIVA DE HORAS TÉCNICAS'!O236*'ESTIMATIVA DE HORAS TÉCNICAS'!F$948+'ESTIMATIVA DE HORAS TÉCNICAS'!P236*'ESTIMATIVA DE HORAS TÉCNICAS'!$F$947+'ESTIMATIVA DE HORAS TÉCNICAS'!Q236*'ESTIMATIVA DE HORAS TÉCNICAS'!F$953+'ESTIMATIVA DE HORAS TÉCNICAS'!R236*'ESTIMATIVA DE HORAS TÉCNICAS'!F$954</f>
        <v>1246.4298815439731</v>
      </c>
      <c r="E238" s="411">
        <f>'CALCULO DO FATO K'!D$10</f>
        <v>2.3175723620309046</v>
      </c>
      <c r="F238" s="714"/>
      <c r="G238" s="714"/>
      <c r="H238" s="411">
        <f>D238*E238</f>
        <v>2888.6914446757664</v>
      </c>
      <c r="I238" s="416">
        <f>SUM(H235:H238)</f>
        <v>9125.6596722443137</v>
      </c>
      <c r="J238" s="767"/>
    </row>
    <row r="239" spans="1:10" s="532" customFormat="1" ht="15.75">
      <c r="A239" s="433"/>
      <c r="B239" s="768"/>
      <c r="C239" s="409"/>
      <c r="D239" s="787"/>
      <c r="E239" s="411"/>
      <c r="F239" s="714"/>
      <c r="G239" s="714"/>
      <c r="H239" s="411"/>
      <c r="I239" s="416"/>
      <c r="J239" s="767"/>
    </row>
    <row r="240" spans="1:10" ht="15.75">
      <c r="A240" s="426"/>
      <c r="B240" s="768"/>
      <c r="C240" s="409"/>
      <c r="D240" s="787"/>
      <c r="E240" s="411"/>
      <c r="F240" s="714"/>
      <c r="G240" s="714"/>
      <c r="H240" s="411"/>
      <c r="I240" s="416"/>
      <c r="J240" s="767"/>
    </row>
    <row r="241" spans="1:11" ht="15.75">
      <c r="A241" s="360" t="s">
        <v>282</v>
      </c>
      <c r="B241" s="479" t="s">
        <v>283</v>
      </c>
      <c r="C241" s="481"/>
      <c r="D241" s="480"/>
      <c r="E241" s="475"/>
      <c r="F241" s="475"/>
      <c r="G241" s="475"/>
      <c r="H241" s="475"/>
      <c r="I241" s="476"/>
      <c r="J241" s="767"/>
      <c r="K241" s="766"/>
    </row>
    <row r="242" spans="1:11" ht="15.75">
      <c r="A242" s="433" t="s">
        <v>284</v>
      </c>
      <c r="B242" s="428" t="s">
        <v>99</v>
      </c>
      <c r="C242" s="224"/>
      <c r="D242" s="787">
        <f>'ESTIMATIVA DE HORAS TÉCNICAS'!F240*'ESTIMATIVA DE HORAS TÉCNICAS'!F$943+'ESTIMATIVA DE HORAS TÉCNICAS'!G240*'ESTIMATIVA DE HORAS TÉCNICAS'!F$942+'ESTIMATIVA DE HORAS TÉCNICAS'!H240*'ESTIMATIVA DE HORAS TÉCNICAS'!F$941+'ESTIMATIVA DE HORAS TÉCNICAS'!I240*'ESTIMATIVA DE HORAS TÉCNICAS'!F$945+'ESTIMATIVA DE HORAS TÉCNICAS'!J240*'ESTIMATIVA DE HORAS TÉCNICAS'!F$946+'ESTIMATIVA DE HORAS TÉCNICAS'!K240*'ESTIMATIVA DE HORAS TÉCNICAS'!$F$944+'ESTIMATIVA DE HORAS TÉCNICAS'!L240*'ESTIMATIVA DE HORAS TÉCNICAS'!F$951+'ESTIMATIVA DE HORAS TÉCNICAS'!M240*'ESTIMATIVA DE HORAS TÉCNICAS'!F$950+'ESTIMATIVA DE HORAS TÉCNICAS'!N240*'ESTIMATIVA DE HORAS TÉCNICAS'!F$949+'ESTIMATIVA DE HORAS TÉCNICAS'!O240*'ESTIMATIVA DE HORAS TÉCNICAS'!F$948+'ESTIMATIVA DE HORAS TÉCNICAS'!P240*'ESTIMATIVA DE HORAS TÉCNICAS'!$F$947+'ESTIMATIVA DE HORAS TÉCNICAS'!Q240*'ESTIMATIVA DE HORAS TÉCNICAS'!F$953+'ESTIMATIVA DE HORAS TÉCNICAS'!R240*'ESTIMATIVA DE HORAS TÉCNICAS'!F$954</f>
        <v>1173.8573627643591</v>
      </c>
      <c r="E242" s="411">
        <f>'CALCULO DO FATO K'!D$10</f>
        <v>2.3175723620309046</v>
      </c>
      <c r="F242" s="714"/>
      <c r="G242" s="714"/>
      <c r="H242" s="411">
        <f>D242*E242</f>
        <v>2720.4993809091643</v>
      </c>
      <c r="I242" s="416"/>
      <c r="J242" s="767"/>
      <c r="K242" s="766"/>
    </row>
    <row r="243" spans="1:11" ht="15.75">
      <c r="A243" s="433" t="s">
        <v>285</v>
      </c>
      <c r="B243" s="428" t="s">
        <v>105</v>
      </c>
      <c r="C243" s="224"/>
      <c r="D243" s="787">
        <f>'ESTIMATIVA DE HORAS TÉCNICAS'!F241*'ESTIMATIVA DE HORAS TÉCNICAS'!F$943+'ESTIMATIVA DE HORAS TÉCNICAS'!G241*'ESTIMATIVA DE HORAS TÉCNICAS'!F$942+'ESTIMATIVA DE HORAS TÉCNICAS'!H241*'ESTIMATIVA DE HORAS TÉCNICAS'!F$941+'ESTIMATIVA DE HORAS TÉCNICAS'!I241*'ESTIMATIVA DE HORAS TÉCNICAS'!F$945+'ESTIMATIVA DE HORAS TÉCNICAS'!J241*'ESTIMATIVA DE HORAS TÉCNICAS'!F$946+'ESTIMATIVA DE HORAS TÉCNICAS'!K241*'ESTIMATIVA DE HORAS TÉCNICAS'!$F$944+'ESTIMATIVA DE HORAS TÉCNICAS'!L241*'ESTIMATIVA DE HORAS TÉCNICAS'!F$951+'ESTIMATIVA DE HORAS TÉCNICAS'!M241*'ESTIMATIVA DE HORAS TÉCNICAS'!F$950+'ESTIMATIVA DE HORAS TÉCNICAS'!N241*'ESTIMATIVA DE HORAS TÉCNICAS'!F$949+'ESTIMATIVA DE HORAS TÉCNICAS'!O241*'ESTIMATIVA DE HORAS TÉCNICAS'!F$948+'ESTIMATIVA DE HORAS TÉCNICAS'!P241*'ESTIMATIVA DE HORAS TÉCNICAS'!$F$947+'ESTIMATIVA DE HORAS TÉCNICAS'!Q241*'ESTIMATIVA DE HORAS TÉCNICAS'!F$953+'ESTIMATIVA DE HORAS TÉCNICAS'!R241*'ESTIMATIVA DE HORAS TÉCNICAS'!F$954</f>
        <v>1531.9800196463655</v>
      </c>
      <c r="E243" s="411">
        <f>'CALCULO DO FATO K'!D$10</f>
        <v>2.3175723620309046</v>
      </c>
      <c r="F243" s="714"/>
      <c r="G243" s="714"/>
      <c r="H243" s="411">
        <f>D243*E243</f>
        <v>3550.4745527159789</v>
      </c>
      <c r="I243" s="416">
        <f>SUM(H242:H243)</f>
        <v>6270.9739336251432</v>
      </c>
      <c r="J243" s="767"/>
      <c r="K243" s="766"/>
    </row>
    <row r="244" spans="1:11" s="532" customFormat="1" ht="15.75">
      <c r="A244" s="433"/>
      <c r="B244" s="428"/>
      <c r="C244" s="224"/>
      <c r="D244" s="787"/>
      <c r="E244" s="411"/>
      <c r="F244" s="714"/>
      <c r="G244" s="714"/>
      <c r="H244" s="411"/>
      <c r="I244" s="416"/>
      <c r="J244" s="767"/>
      <c r="K244" s="766"/>
    </row>
    <row r="245" spans="1:11" ht="15.75">
      <c r="A245" s="426"/>
      <c r="B245" s="768"/>
      <c r="C245" s="224"/>
      <c r="D245" s="787"/>
      <c r="E245" s="411"/>
      <c r="F245" s="714"/>
      <c r="G245" s="714"/>
      <c r="H245" s="411"/>
      <c r="I245" s="416"/>
      <c r="J245" s="767"/>
      <c r="K245" s="766"/>
    </row>
    <row r="246" spans="1:11" ht="15.75">
      <c r="A246" s="363" t="s">
        <v>286</v>
      </c>
      <c r="B246" s="418" t="s">
        <v>287</v>
      </c>
      <c r="C246" s="478"/>
      <c r="D246" s="480"/>
      <c r="E246" s="480"/>
      <c r="F246" s="475"/>
      <c r="G246" s="475"/>
      <c r="H246" s="480"/>
      <c r="I246" s="476"/>
      <c r="J246" s="767"/>
      <c r="K246" s="766"/>
    </row>
    <row r="247" spans="1:11" ht="15.75">
      <c r="A247" s="426" t="s">
        <v>288</v>
      </c>
      <c r="B247" s="428" t="s">
        <v>99</v>
      </c>
      <c r="C247" s="410"/>
      <c r="D247" s="787">
        <f>'ESTIMATIVA DE HORAS TÉCNICAS'!F245*'ESTIMATIVA DE HORAS TÉCNICAS'!F$943+'ESTIMATIVA DE HORAS TÉCNICAS'!G245*'ESTIMATIVA DE HORAS TÉCNICAS'!F$942+'ESTIMATIVA DE HORAS TÉCNICAS'!H245*'ESTIMATIVA DE HORAS TÉCNICAS'!F$941+'ESTIMATIVA DE HORAS TÉCNICAS'!I245*'ESTIMATIVA DE HORAS TÉCNICAS'!F$945+'ESTIMATIVA DE HORAS TÉCNICAS'!J245*'ESTIMATIVA DE HORAS TÉCNICAS'!F$946+'ESTIMATIVA DE HORAS TÉCNICAS'!K245*'ESTIMATIVA DE HORAS TÉCNICAS'!$F$944+'ESTIMATIVA DE HORAS TÉCNICAS'!L245*'ESTIMATIVA DE HORAS TÉCNICAS'!F$951+'ESTIMATIVA DE HORAS TÉCNICAS'!M245*'ESTIMATIVA DE HORAS TÉCNICAS'!F$950+'ESTIMATIVA DE HORAS TÉCNICAS'!N245*'ESTIMATIVA DE HORAS TÉCNICAS'!F$949+'ESTIMATIVA DE HORAS TÉCNICAS'!O245*'ESTIMATIVA DE HORAS TÉCNICAS'!F$948+'ESTIMATIVA DE HORAS TÉCNICAS'!P245*'ESTIMATIVA DE HORAS TÉCNICAS'!$F$947+'ESTIMATIVA DE HORAS TÉCNICAS'!Q245*'ESTIMATIVA DE HORAS TÉCNICAS'!F$953+'ESTIMATIVA DE HORAS TÉCNICAS'!R245*'ESTIMATIVA DE HORAS TÉCNICAS'!F$954</f>
        <v>949.76940454177736</v>
      </c>
      <c r="E247" s="411">
        <f>'CALCULO DO FATO K'!D$10</f>
        <v>2.3175723620309046</v>
      </c>
      <c r="F247" s="714"/>
      <c r="G247" s="714"/>
      <c r="H247" s="411">
        <f>D247*E247</f>
        <v>2201.1593222685729</v>
      </c>
      <c r="I247" s="416"/>
      <c r="J247" s="767"/>
      <c r="K247" s="766"/>
    </row>
    <row r="248" spans="1:11" ht="15.75">
      <c r="A248" s="426" t="s">
        <v>289</v>
      </c>
      <c r="B248" s="768" t="s">
        <v>105</v>
      </c>
      <c r="C248" s="410"/>
      <c r="D248" s="787">
        <f>'ESTIMATIVA DE HORAS TÉCNICAS'!F246*'ESTIMATIVA DE HORAS TÉCNICAS'!F$943+'ESTIMATIVA DE HORAS TÉCNICAS'!G246*'ESTIMATIVA DE HORAS TÉCNICAS'!F$942+'ESTIMATIVA DE HORAS TÉCNICAS'!H246*'ESTIMATIVA DE HORAS TÉCNICAS'!F$941+'ESTIMATIVA DE HORAS TÉCNICAS'!I246*'ESTIMATIVA DE HORAS TÉCNICAS'!F$945+'ESTIMATIVA DE HORAS TÉCNICAS'!J246*'ESTIMATIVA DE HORAS TÉCNICAS'!F$946+'ESTIMATIVA DE HORAS TÉCNICAS'!K246*'ESTIMATIVA DE HORAS TÉCNICAS'!$F$944+'ESTIMATIVA DE HORAS TÉCNICAS'!L246*'ESTIMATIVA DE HORAS TÉCNICAS'!F$951+'ESTIMATIVA DE HORAS TÉCNICAS'!M246*'ESTIMATIVA DE HORAS TÉCNICAS'!F$950+'ESTIMATIVA DE HORAS TÉCNICAS'!N246*'ESTIMATIVA DE HORAS TÉCNICAS'!F$949+'ESTIMATIVA DE HORAS TÉCNICAS'!O246*'ESTIMATIVA DE HORAS TÉCNICAS'!F$948+'ESTIMATIVA DE HORAS TÉCNICAS'!P246*'ESTIMATIVA DE HORAS TÉCNICAS'!$F$947+'ESTIMATIVA DE HORAS TÉCNICAS'!Q246*'ESTIMATIVA DE HORAS TÉCNICAS'!F$953+'ESTIMATIVA DE HORAS TÉCNICAS'!R246*'ESTIMATIVA DE HORAS TÉCNICAS'!F$954</f>
        <v>1092.9324867098117</v>
      </c>
      <c r="E248" s="411">
        <f>'CALCULO DO FATO K'!D$10</f>
        <v>2.3175723620309046</v>
      </c>
      <c r="F248" s="714"/>
      <c r="G248" s="714"/>
      <c r="H248" s="411">
        <f>D248*E248</f>
        <v>2532.9501247643684</v>
      </c>
      <c r="I248" s="416">
        <f>SUM(H247:H248)</f>
        <v>4734.1094470329408</v>
      </c>
      <c r="J248" s="767"/>
      <c r="K248" s="766"/>
    </row>
    <row r="249" spans="1:11" s="532" customFormat="1" ht="15.75">
      <c r="A249" s="426"/>
      <c r="B249" s="768"/>
      <c r="C249" s="410"/>
      <c r="D249" s="787"/>
      <c r="E249" s="411"/>
      <c r="F249" s="714"/>
      <c r="G249" s="714"/>
      <c r="H249" s="411"/>
      <c r="I249" s="416"/>
      <c r="J249" s="767"/>
      <c r="K249" s="766"/>
    </row>
    <row r="250" spans="1:11" ht="15.75">
      <c r="A250" s="426"/>
      <c r="B250" s="768"/>
      <c r="C250" s="410"/>
      <c r="D250" s="787"/>
      <c r="E250" s="411"/>
      <c r="F250" s="714"/>
      <c r="G250" s="714"/>
      <c r="H250" s="411"/>
      <c r="I250" s="416"/>
      <c r="J250" s="767"/>
      <c r="K250" s="766"/>
    </row>
    <row r="251" spans="1:11" ht="15.75">
      <c r="A251" s="853" t="s">
        <v>290</v>
      </c>
      <c r="B251" s="427" t="s">
        <v>291</v>
      </c>
      <c r="C251" s="474"/>
      <c r="D251" s="480"/>
      <c r="E251" s="475"/>
      <c r="F251" s="475"/>
      <c r="G251" s="475"/>
      <c r="H251" s="475"/>
      <c r="I251" s="476"/>
      <c r="J251" s="767"/>
      <c r="K251" s="766"/>
    </row>
    <row r="252" spans="1:11" ht="15.75">
      <c r="A252" s="426" t="s">
        <v>292</v>
      </c>
      <c r="B252" s="768" t="s">
        <v>293</v>
      </c>
      <c r="C252" s="409"/>
      <c r="D252" s="787">
        <f>'ESTIMATIVA DE HORAS TÉCNICAS'!F250*'ESTIMATIVA DE HORAS TÉCNICAS'!F$943+'ESTIMATIVA DE HORAS TÉCNICAS'!G250*'ESTIMATIVA DE HORAS TÉCNICAS'!F$942+'ESTIMATIVA DE HORAS TÉCNICAS'!H250*'ESTIMATIVA DE HORAS TÉCNICAS'!F$941+'ESTIMATIVA DE HORAS TÉCNICAS'!I250*'ESTIMATIVA DE HORAS TÉCNICAS'!F$945+'ESTIMATIVA DE HORAS TÉCNICAS'!J250*'ESTIMATIVA DE HORAS TÉCNICAS'!F$946+'ESTIMATIVA DE HORAS TÉCNICAS'!K250*'ESTIMATIVA DE HORAS TÉCNICAS'!$F$944+'ESTIMATIVA DE HORAS TÉCNICAS'!L250*'ESTIMATIVA DE HORAS TÉCNICAS'!F$951+'ESTIMATIVA DE HORAS TÉCNICAS'!M250*'ESTIMATIVA DE HORAS TÉCNICAS'!F$950+'ESTIMATIVA DE HORAS TÉCNICAS'!N250*'ESTIMATIVA DE HORAS TÉCNICAS'!F$949+'ESTIMATIVA DE HORAS TÉCNICAS'!O250*'ESTIMATIVA DE HORAS TÉCNICAS'!F$948+'ESTIMATIVA DE HORAS TÉCNICAS'!P250*'ESTIMATIVA DE HORAS TÉCNICAS'!$F$947+'ESTIMATIVA DE HORAS TÉCNICAS'!Q250*'ESTIMATIVA DE HORAS TÉCNICAS'!F$953+'ESTIMATIVA DE HORAS TÉCNICAS'!R250*'ESTIMATIVA DE HORAS TÉCNICAS'!F$954</f>
        <v>4404.8671579221082</v>
      </c>
      <c r="E252" s="411">
        <f>'CALCULO DO FATO K'!D$10</f>
        <v>2.3175723620309046</v>
      </c>
      <c r="F252" s="714"/>
      <c r="G252" s="714"/>
      <c r="H252" s="411">
        <f>D252*E252</f>
        <v>10208.598383617898</v>
      </c>
      <c r="I252" s="416">
        <f>H252</f>
        <v>10208.598383617898</v>
      </c>
      <c r="J252" s="767"/>
      <c r="K252" s="766"/>
    </row>
    <row r="253" spans="1:11" ht="15.75">
      <c r="A253" s="426"/>
      <c r="B253" s="768"/>
      <c r="C253" s="409"/>
      <c r="D253" s="787"/>
      <c r="E253" s="714"/>
      <c r="F253" s="714"/>
      <c r="G253" s="714"/>
      <c r="H253" s="714"/>
      <c r="I253" s="416"/>
      <c r="J253" s="767"/>
      <c r="K253" s="766"/>
    </row>
    <row r="254" spans="1:11" ht="16.5" customHeight="1">
      <c r="A254" s="851"/>
      <c r="B254" s="312" t="s">
        <v>294</v>
      </c>
      <c r="C254" s="309"/>
      <c r="D254" s="790"/>
      <c r="E254" s="313"/>
      <c r="F254" s="313"/>
      <c r="G254" s="313"/>
      <c r="H254" s="313"/>
      <c r="I254" s="310">
        <f>SUM(I33:I253)</f>
        <v>703910.53603919083</v>
      </c>
      <c r="J254" s="709"/>
      <c r="K254" s="767"/>
    </row>
    <row r="255" spans="1:11" ht="15.75">
      <c r="A255" s="426"/>
      <c r="B255" s="768"/>
      <c r="C255" s="409"/>
      <c r="D255" s="787"/>
      <c r="E255" s="714"/>
      <c r="F255" s="714"/>
      <c r="G255" s="714"/>
      <c r="H255" s="714"/>
      <c r="I255" s="416"/>
      <c r="J255" s="767"/>
      <c r="K255" s="766"/>
    </row>
    <row r="256" spans="1:11" ht="15.75">
      <c r="A256" s="851" t="s">
        <v>295</v>
      </c>
      <c r="B256" s="482" t="s">
        <v>296</v>
      </c>
      <c r="C256" s="483">
        <f>'ESTIMATIVA DE HORAS TÉCNICAS'!C258</f>
        <v>0.41</v>
      </c>
      <c r="D256" s="793"/>
      <c r="E256" s="484"/>
      <c r="F256" s="484"/>
      <c r="G256" s="484"/>
      <c r="H256" s="484"/>
      <c r="I256" s="310"/>
      <c r="J256" s="767"/>
      <c r="K256" s="766"/>
    </row>
    <row r="257" spans="1:10" ht="15.75">
      <c r="A257" s="426"/>
      <c r="B257" s="91"/>
      <c r="C257" s="409"/>
      <c r="D257" s="787"/>
      <c r="E257" s="714"/>
      <c r="F257" s="714"/>
      <c r="G257" s="714"/>
      <c r="H257" s="714"/>
      <c r="I257" s="416"/>
      <c r="J257" s="767"/>
    </row>
    <row r="258" spans="1:10" ht="15.75">
      <c r="A258" s="391" t="s">
        <v>297</v>
      </c>
      <c r="B258" s="419" t="s">
        <v>298</v>
      </c>
      <c r="C258" s="474"/>
      <c r="D258" s="794"/>
      <c r="E258" s="475"/>
      <c r="F258" s="475"/>
      <c r="G258" s="475"/>
      <c r="H258" s="475"/>
      <c r="I258" s="476"/>
      <c r="J258" s="767"/>
    </row>
    <row r="259" spans="1:10" s="432" customFormat="1" ht="31.5">
      <c r="A259" s="433" t="s">
        <v>299</v>
      </c>
      <c r="B259" s="658" t="s">
        <v>300</v>
      </c>
      <c r="C259" s="552"/>
      <c r="D259" s="795">
        <f>'ESTIMATIVA DE HORAS TÉCNICAS'!F261*'ESTIMATIVA DE HORAS TÉCNICAS'!F$943+'ESTIMATIVA DE HORAS TÉCNICAS'!G261*'ESTIMATIVA DE HORAS TÉCNICAS'!F$942+'ESTIMATIVA DE HORAS TÉCNICAS'!H261*'ESTIMATIVA DE HORAS TÉCNICAS'!F$941+'ESTIMATIVA DE HORAS TÉCNICAS'!I261*'ESTIMATIVA DE HORAS TÉCNICAS'!F$945+'ESTIMATIVA DE HORAS TÉCNICAS'!J261*'ESTIMATIVA DE HORAS TÉCNICAS'!F$946+'ESTIMATIVA DE HORAS TÉCNICAS'!K261*'ESTIMATIVA DE HORAS TÉCNICAS'!$F$944+'ESTIMATIVA DE HORAS TÉCNICAS'!L261*'ESTIMATIVA DE HORAS TÉCNICAS'!F$951+'ESTIMATIVA DE HORAS TÉCNICAS'!M261*'ESTIMATIVA DE HORAS TÉCNICAS'!F$950+'ESTIMATIVA DE HORAS TÉCNICAS'!N261*'ESTIMATIVA DE HORAS TÉCNICAS'!F$949+'ESTIMATIVA DE HORAS TÉCNICAS'!O261*'ESTIMATIVA DE HORAS TÉCNICAS'!F$948+'ESTIMATIVA DE HORAS TÉCNICAS'!P261*'ESTIMATIVA DE HORAS TÉCNICAS'!$F$947+'ESTIMATIVA DE HORAS TÉCNICAS'!Q261*'ESTIMATIVA DE HORAS TÉCNICAS'!F$953+'ESTIMATIVA DE HORAS TÉCNICAS'!R261*'ESTIMATIVA DE HORAS TÉCNICAS'!F$954</f>
        <v>12907.361512365655</v>
      </c>
      <c r="E259" s="553">
        <f>'CALCULO DO FATO K'!D$10</f>
        <v>2.3175723620309046</v>
      </c>
      <c r="F259" s="554"/>
      <c r="G259" s="554"/>
      <c r="H259" s="553">
        <f>D259*E259</f>
        <v>29913.744307800058</v>
      </c>
      <c r="I259" s="555"/>
      <c r="J259" s="767"/>
    </row>
    <row r="260" spans="1:10" ht="15.75">
      <c r="A260" s="426" t="s">
        <v>301</v>
      </c>
      <c r="B260" s="428" t="s">
        <v>302</v>
      </c>
      <c r="C260" s="409"/>
      <c r="D260" s="795">
        <f>'ESTIMATIVA DE HORAS TÉCNICAS'!F262*'ESTIMATIVA DE HORAS TÉCNICAS'!F$943+'ESTIMATIVA DE HORAS TÉCNICAS'!G262*'ESTIMATIVA DE HORAS TÉCNICAS'!F$942+'ESTIMATIVA DE HORAS TÉCNICAS'!H262*'ESTIMATIVA DE HORAS TÉCNICAS'!F$941+'ESTIMATIVA DE HORAS TÉCNICAS'!I262*'ESTIMATIVA DE HORAS TÉCNICAS'!F$945+'ESTIMATIVA DE HORAS TÉCNICAS'!J262*'ESTIMATIVA DE HORAS TÉCNICAS'!F$946+'ESTIMATIVA DE HORAS TÉCNICAS'!K262*'ESTIMATIVA DE HORAS TÉCNICAS'!$F$944+'ESTIMATIVA DE HORAS TÉCNICAS'!L262*'ESTIMATIVA DE HORAS TÉCNICAS'!F$951+'ESTIMATIVA DE HORAS TÉCNICAS'!M262*'ESTIMATIVA DE HORAS TÉCNICAS'!F$950+'ESTIMATIVA DE HORAS TÉCNICAS'!N262*'ESTIMATIVA DE HORAS TÉCNICAS'!F$949+'ESTIMATIVA DE HORAS TÉCNICAS'!O262*'ESTIMATIVA DE HORAS TÉCNICAS'!F$948+'ESTIMATIVA DE HORAS TÉCNICAS'!P262*'ESTIMATIVA DE HORAS TÉCNICAS'!$F$947+'ESTIMATIVA DE HORAS TÉCNICAS'!Q262*'ESTIMATIVA DE HORAS TÉCNICAS'!F$953+'ESTIMATIVA DE HORAS TÉCNICAS'!R262*'ESTIMATIVA DE HORAS TÉCNICAS'!F$954</f>
        <v>30117.176862186523</v>
      </c>
      <c r="E260" s="411">
        <f>'CALCULO DO FATO K'!D$10</f>
        <v>2.3175723620309046</v>
      </c>
      <c r="F260" s="714"/>
      <c r="G260" s="714"/>
      <c r="H260" s="411">
        <f t="shared" ref="H260:H269" si="5">D260*E260</f>
        <v>69798.736718200133</v>
      </c>
      <c r="I260" s="416"/>
      <c r="J260" s="767"/>
    </row>
    <row r="261" spans="1:10" ht="15.75">
      <c r="A261" s="433" t="s">
        <v>303</v>
      </c>
      <c r="B261" s="428" t="s">
        <v>304</v>
      </c>
      <c r="C261" s="409"/>
      <c r="D261" s="795">
        <f>'ESTIMATIVA DE HORAS TÉCNICAS'!F263*'ESTIMATIVA DE HORAS TÉCNICAS'!F$943+'ESTIMATIVA DE HORAS TÉCNICAS'!G263*'ESTIMATIVA DE HORAS TÉCNICAS'!F$942+'ESTIMATIVA DE HORAS TÉCNICAS'!H263*'ESTIMATIVA DE HORAS TÉCNICAS'!F$941+'ESTIMATIVA DE HORAS TÉCNICAS'!I263*'ESTIMATIVA DE HORAS TÉCNICAS'!F$945+'ESTIMATIVA DE HORAS TÉCNICAS'!J263*'ESTIMATIVA DE HORAS TÉCNICAS'!F$946+'ESTIMATIVA DE HORAS TÉCNICAS'!K263*'ESTIMATIVA DE HORAS TÉCNICAS'!$F$944+'ESTIMATIVA DE HORAS TÉCNICAS'!L263*'ESTIMATIVA DE HORAS TÉCNICAS'!F$951+'ESTIMATIVA DE HORAS TÉCNICAS'!M263*'ESTIMATIVA DE HORAS TÉCNICAS'!F$950+'ESTIMATIVA DE HORAS TÉCNICAS'!N263*'ESTIMATIVA DE HORAS TÉCNICAS'!F$949+'ESTIMATIVA DE HORAS TÉCNICAS'!O263*'ESTIMATIVA DE HORAS TÉCNICAS'!F$948+'ESTIMATIVA DE HORAS TÉCNICAS'!P263*'ESTIMATIVA DE HORAS TÉCNICAS'!$F$947+'ESTIMATIVA DE HORAS TÉCNICAS'!Q263*'ESTIMATIVA DE HORAS TÉCNICAS'!F$953+'ESTIMATIVA DE HORAS TÉCNICAS'!R263*'ESTIMATIVA DE HORAS TÉCNICAS'!F$954</f>
        <v>12907.361512365655</v>
      </c>
      <c r="E261" s="411">
        <f>'CALCULO DO FATO K'!D$10</f>
        <v>2.3175723620309046</v>
      </c>
      <c r="F261" s="714"/>
      <c r="G261" s="714"/>
      <c r="H261" s="411">
        <f t="shared" si="5"/>
        <v>29913.744307800058</v>
      </c>
      <c r="I261" s="416"/>
      <c r="J261" s="767"/>
    </row>
    <row r="262" spans="1:10" ht="15.75">
      <c r="A262" s="426" t="s">
        <v>305</v>
      </c>
      <c r="B262" s="428" t="s">
        <v>306</v>
      </c>
      <c r="C262" s="409"/>
      <c r="D262" s="795">
        <f>'ESTIMATIVA DE HORAS TÉCNICAS'!F264*'ESTIMATIVA DE HORAS TÉCNICAS'!F$943+'ESTIMATIVA DE HORAS TÉCNICAS'!G264*'ESTIMATIVA DE HORAS TÉCNICAS'!F$942+'ESTIMATIVA DE HORAS TÉCNICAS'!H264*'ESTIMATIVA DE HORAS TÉCNICAS'!F$941+'ESTIMATIVA DE HORAS TÉCNICAS'!I264*'ESTIMATIVA DE HORAS TÉCNICAS'!F$945+'ESTIMATIVA DE HORAS TÉCNICAS'!J264*'ESTIMATIVA DE HORAS TÉCNICAS'!F$946+'ESTIMATIVA DE HORAS TÉCNICAS'!K264*'ESTIMATIVA DE HORAS TÉCNICAS'!$F$944+'ESTIMATIVA DE HORAS TÉCNICAS'!L264*'ESTIMATIVA DE HORAS TÉCNICAS'!F$951+'ESTIMATIVA DE HORAS TÉCNICAS'!M264*'ESTIMATIVA DE HORAS TÉCNICAS'!F$950+'ESTIMATIVA DE HORAS TÉCNICAS'!N264*'ESTIMATIVA DE HORAS TÉCNICAS'!F$949+'ESTIMATIVA DE HORAS TÉCNICAS'!O264*'ESTIMATIVA DE HORAS TÉCNICAS'!F$948+'ESTIMATIVA DE HORAS TÉCNICAS'!P264*'ESTIMATIVA DE HORAS TÉCNICAS'!$F$947+'ESTIMATIVA DE HORAS TÉCNICAS'!Q264*'ESTIMATIVA DE HORAS TÉCNICAS'!F$953+'ESTIMATIVA DE HORAS TÉCNICAS'!R264*'ESTIMATIVA DE HORAS TÉCNICAS'!F$954</f>
        <v>12907.361512365655</v>
      </c>
      <c r="E262" s="411">
        <f>'CALCULO DO FATO K'!D$10</f>
        <v>2.3175723620309046</v>
      </c>
      <c r="F262" s="714"/>
      <c r="G262" s="714"/>
      <c r="H262" s="411">
        <f t="shared" si="5"/>
        <v>29913.744307800058</v>
      </c>
      <c r="I262" s="416"/>
      <c r="J262" s="767"/>
    </row>
    <row r="263" spans="1:10" ht="15.75">
      <c r="A263" s="433" t="s">
        <v>307</v>
      </c>
      <c r="B263" s="428" t="s">
        <v>308</v>
      </c>
      <c r="C263" s="409"/>
      <c r="D263" s="795">
        <f>'ESTIMATIVA DE HORAS TÉCNICAS'!F265*'ESTIMATIVA DE HORAS TÉCNICAS'!F$943+'ESTIMATIVA DE HORAS TÉCNICAS'!G265*'ESTIMATIVA DE HORAS TÉCNICAS'!F$942+'ESTIMATIVA DE HORAS TÉCNICAS'!H265*'ESTIMATIVA DE HORAS TÉCNICAS'!F$941+'ESTIMATIVA DE HORAS TÉCNICAS'!I265*'ESTIMATIVA DE HORAS TÉCNICAS'!F$945+'ESTIMATIVA DE HORAS TÉCNICAS'!J265*'ESTIMATIVA DE HORAS TÉCNICAS'!F$946+'ESTIMATIVA DE HORAS TÉCNICAS'!K265*'ESTIMATIVA DE HORAS TÉCNICAS'!$F$944+'ESTIMATIVA DE HORAS TÉCNICAS'!L265*'ESTIMATIVA DE HORAS TÉCNICAS'!F$951+'ESTIMATIVA DE HORAS TÉCNICAS'!M265*'ESTIMATIVA DE HORAS TÉCNICAS'!F$950+'ESTIMATIVA DE HORAS TÉCNICAS'!N265*'ESTIMATIVA DE HORAS TÉCNICAS'!F$949+'ESTIMATIVA DE HORAS TÉCNICAS'!O265*'ESTIMATIVA DE HORAS TÉCNICAS'!F$948+'ESTIMATIVA DE HORAS TÉCNICAS'!P265*'ESTIMATIVA DE HORAS TÉCNICAS'!$F$947+'ESTIMATIVA DE HORAS TÉCNICAS'!Q265*'ESTIMATIVA DE HORAS TÉCNICAS'!F$953+'ESTIMATIVA DE HORAS TÉCNICAS'!R265*'ESTIMATIVA DE HORAS TÉCNICAS'!F$954</f>
        <v>10039.058954062177</v>
      </c>
      <c r="E263" s="411">
        <f>'CALCULO DO FATO K'!D$10</f>
        <v>2.3175723620309046</v>
      </c>
      <c r="F263" s="714"/>
      <c r="G263" s="714"/>
      <c r="H263" s="411">
        <f t="shared" si="5"/>
        <v>23266.24557273338</v>
      </c>
      <c r="I263" s="416"/>
      <c r="J263" s="767"/>
    </row>
    <row r="264" spans="1:10" ht="15.75">
      <c r="A264" s="426" t="s">
        <v>309</v>
      </c>
      <c r="B264" s="428" t="s">
        <v>310</v>
      </c>
      <c r="C264" s="409"/>
      <c r="D264" s="795">
        <f>'ESTIMATIVA DE HORAS TÉCNICAS'!F266*'ESTIMATIVA DE HORAS TÉCNICAS'!F$943+'ESTIMATIVA DE HORAS TÉCNICAS'!G266*'ESTIMATIVA DE HORAS TÉCNICAS'!F$942+'ESTIMATIVA DE HORAS TÉCNICAS'!H266*'ESTIMATIVA DE HORAS TÉCNICAS'!F$941+'ESTIMATIVA DE HORAS TÉCNICAS'!I266*'ESTIMATIVA DE HORAS TÉCNICAS'!F$945+'ESTIMATIVA DE HORAS TÉCNICAS'!J266*'ESTIMATIVA DE HORAS TÉCNICAS'!F$946+'ESTIMATIVA DE HORAS TÉCNICAS'!K266*'ESTIMATIVA DE HORAS TÉCNICAS'!$F$944+'ESTIMATIVA DE HORAS TÉCNICAS'!L266*'ESTIMATIVA DE HORAS TÉCNICAS'!F$951+'ESTIMATIVA DE HORAS TÉCNICAS'!M266*'ESTIMATIVA DE HORAS TÉCNICAS'!F$950+'ESTIMATIVA DE HORAS TÉCNICAS'!N266*'ESTIMATIVA DE HORAS TÉCNICAS'!F$949+'ESTIMATIVA DE HORAS TÉCNICAS'!O266*'ESTIMATIVA DE HORAS TÉCNICAS'!F$948+'ESTIMATIVA DE HORAS TÉCNICAS'!P266*'ESTIMATIVA DE HORAS TÉCNICAS'!$F$947+'ESTIMATIVA DE HORAS TÉCNICAS'!Q266*'ESTIMATIVA DE HORAS TÉCNICAS'!F$953+'ESTIMATIVA DE HORAS TÉCNICAS'!R266*'ESTIMATIVA DE HORAS TÉCNICAS'!F$954</f>
        <v>10039.058954062177</v>
      </c>
      <c r="E264" s="411">
        <f>'CALCULO DO FATO K'!D$10</f>
        <v>2.3175723620309046</v>
      </c>
      <c r="F264" s="714"/>
      <c r="G264" s="714"/>
      <c r="H264" s="411">
        <f t="shared" si="5"/>
        <v>23266.24557273338</v>
      </c>
      <c r="I264" s="416"/>
      <c r="J264" s="767"/>
    </row>
    <row r="265" spans="1:10" s="432" customFormat="1" ht="31.5">
      <c r="A265" s="433" t="s">
        <v>311</v>
      </c>
      <c r="B265" s="658" t="s">
        <v>312</v>
      </c>
      <c r="C265" s="552"/>
      <c r="D265" s="795">
        <f>'ESTIMATIVA DE HORAS TÉCNICAS'!F267*'ESTIMATIVA DE HORAS TÉCNICAS'!F$943+'ESTIMATIVA DE HORAS TÉCNICAS'!G267*'ESTIMATIVA DE HORAS TÉCNICAS'!F$942+'ESTIMATIVA DE HORAS TÉCNICAS'!H267*'ESTIMATIVA DE HORAS TÉCNICAS'!F$941+'ESTIMATIVA DE HORAS TÉCNICAS'!I267*'ESTIMATIVA DE HORAS TÉCNICAS'!F$945+'ESTIMATIVA DE HORAS TÉCNICAS'!J267*'ESTIMATIVA DE HORAS TÉCNICAS'!F$946+'ESTIMATIVA DE HORAS TÉCNICAS'!K267*'ESTIMATIVA DE HORAS TÉCNICAS'!$F$944+'ESTIMATIVA DE HORAS TÉCNICAS'!L267*'ESTIMATIVA DE HORAS TÉCNICAS'!F$951+'ESTIMATIVA DE HORAS TÉCNICAS'!M267*'ESTIMATIVA DE HORAS TÉCNICAS'!F$950+'ESTIMATIVA DE HORAS TÉCNICAS'!N267*'ESTIMATIVA DE HORAS TÉCNICAS'!F$949+'ESTIMATIVA DE HORAS TÉCNICAS'!O267*'ESTIMATIVA DE HORAS TÉCNICAS'!F$948+'ESTIMATIVA DE HORAS TÉCNICAS'!P267*'ESTIMATIVA DE HORAS TÉCNICAS'!$F$947+'ESTIMATIVA DE HORAS TÉCNICAS'!Q267*'ESTIMATIVA DE HORAS TÉCNICAS'!F$953+'ESTIMATIVA DE HORAS TÉCNICAS'!R267*'ESTIMATIVA DE HORAS TÉCNICAS'!F$954</f>
        <v>12907.361512365655</v>
      </c>
      <c r="E265" s="553">
        <f>'CALCULO DO FATO K'!D$10</f>
        <v>2.3175723620309046</v>
      </c>
      <c r="F265" s="554"/>
      <c r="G265" s="554"/>
      <c r="H265" s="553">
        <f t="shared" si="5"/>
        <v>29913.744307800058</v>
      </c>
      <c r="I265" s="555"/>
      <c r="J265" s="767"/>
    </row>
    <row r="266" spans="1:10" s="387" customFormat="1" ht="15.75">
      <c r="A266" s="426" t="s">
        <v>313</v>
      </c>
      <c r="B266" s="428" t="s">
        <v>314</v>
      </c>
      <c r="C266" s="409"/>
      <c r="D266" s="795">
        <f>'ESTIMATIVA DE HORAS TÉCNICAS'!F268*'ESTIMATIVA DE HORAS TÉCNICAS'!F$943+'ESTIMATIVA DE HORAS TÉCNICAS'!G268*'ESTIMATIVA DE HORAS TÉCNICAS'!F$942+'ESTIMATIVA DE HORAS TÉCNICAS'!H268*'ESTIMATIVA DE HORAS TÉCNICAS'!F$941+'ESTIMATIVA DE HORAS TÉCNICAS'!I268*'ESTIMATIVA DE HORAS TÉCNICAS'!F$945+'ESTIMATIVA DE HORAS TÉCNICAS'!J268*'ESTIMATIVA DE HORAS TÉCNICAS'!F$946+'ESTIMATIVA DE HORAS TÉCNICAS'!K268*'ESTIMATIVA DE HORAS TÉCNICAS'!$F$944+'ESTIMATIVA DE HORAS TÉCNICAS'!L268*'ESTIMATIVA DE HORAS TÉCNICAS'!F$951+'ESTIMATIVA DE HORAS TÉCNICAS'!M268*'ESTIMATIVA DE HORAS TÉCNICAS'!F$950+'ESTIMATIVA DE HORAS TÉCNICAS'!N268*'ESTIMATIVA DE HORAS TÉCNICAS'!F$949+'ESTIMATIVA DE HORAS TÉCNICAS'!O268*'ESTIMATIVA DE HORAS TÉCNICAS'!F$948+'ESTIMATIVA DE HORAS TÉCNICAS'!P268*'ESTIMATIVA DE HORAS TÉCNICAS'!$F$947+'ESTIMATIVA DE HORAS TÉCNICAS'!Q268*'ESTIMATIVA DE HORAS TÉCNICAS'!F$953+'ESTIMATIVA DE HORAS TÉCNICAS'!R268*'ESTIMATIVA DE HORAS TÉCNICAS'!F$954</f>
        <v>14341.512791517394</v>
      </c>
      <c r="E266" s="411">
        <f>'CALCULO DO FATO K'!D$10</f>
        <v>2.3175723620309046</v>
      </c>
      <c r="F266" s="714"/>
      <c r="G266" s="714"/>
      <c r="H266" s="411">
        <f t="shared" si="5"/>
        <v>33237.493675333397</v>
      </c>
      <c r="I266" s="416"/>
      <c r="J266" s="767"/>
    </row>
    <row r="267" spans="1:10" ht="15.75">
      <c r="A267" s="433" t="s">
        <v>315</v>
      </c>
      <c r="B267" s="428" t="s">
        <v>316</v>
      </c>
      <c r="C267" s="409"/>
      <c r="D267" s="795">
        <f>'ESTIMATIVA DE HORAS TÉCNICAS'!F269*'ESTIMATIVA DE HORAS TÉCNICAS'!F$943+'ESTIMATIVA DE HORAS TÉCNICAS'!G269*'ESTIMATIVA DE HORAS TÉCNICAS'!F$942+'ESTIMATIVA DE HORAS TÉCNICAS'!H269*'ESTIMATIVA DE HORAS TÉCNICAS'!F$941+'ESTIMATIVA DE HORAS TÉCNICAS'!I269*'ESTIMATIVA DE HORAS TÉCNICAS'!F$945+'ESTIMATIVA DE HORAS TÉCNICAS'!J269*'ESTIMATIVA DE HORAS TÉCNICAS'!F$946+'ESTIMATIVA DE HORAS TÉCNICAS'!K269*'ESTIMATIVA DE HORAS TÉCNICAS'!$F$944+'ESTIMATIVA DE HORAS TÉCNICAS'!L269*'ESTIMATIVA DE HORAS TÉCNICAS'!F$951+'ESTIMATIVA DE HORAS TÉCNICAS'!M269*'ESTIMATIVA DE HORAS TÉCNICAS'!F$950+'ESTIMATIVA DE HORAS TÉCNICAS'!N269*'ESTIMATIVA DE HORAS TÉCNICAS'!F$949+'ESTIMATIVA DE HORAS TÉCNICAS'!O269*'ESTIMATIVA DE HORAS TÉCNICAS'!F$948+'ESTIMATIVA DE HORAS TÉCNICAS'!P269*'ESTIMATIVA DE HORAS TÉCNICAS'!$F$947+'ESTIMATIVA DE HORAS TÉCNICAS'!Q269*'ESTIMATIVA DE HORAS TÉCNICAS'!F$953+'ESTIMATIVA DE HORAS TÉCNICAS'!R269*'ESTIMATIVA DE HORAS TÉCNICAS'!F$954</f>
        <v>8604.9076749104352</v>
      </c>
      <c r="E267" s="411">
        <f>'CALCULO DO FATO K'!D$10</f>
        <v>2.3175723620309046</v>
      </c>
      <c r="F267" s="714"/>
      <c r="G267" s="714"/>
      <c r="H267" s="411">
        <f t="shared" si="5"/>
        <v>19942.496205200037</v>
      </c>
      <c r="I267" s="416"/>
      <c r="J267" s="767"/>
    </row>
    <row r="268" spans="1:10" ht="15.75">
      <c r="A268" s="426" t="s">
        <v>317</v>
      </c>
      <c r="B268" s="428" t="s">
        <v>318</v>
      </c>
      <c r="C268" s="409"/>
      <c r="D268" s="795">
        <f>'ESTIMATIVA DE HORAS TÉCNICAS'!F270*'ESTIMATIVA DE HORAS TÉCNICAS'!F$943+'ESTIMATIVA DE HORAS TÉCNICAS'!G270*'ESTIMATIVA DE HORAS TÉCNICAS'!F$942+'ESTIMATIVA DE HORAS TÉCNICAS'!H270*'ESTIMATIVA DE HORAS TÉCNICAS'!F$941+'ESTIMATIVA DE HORAS TÉCNICAS'!I270*'ESTIMATIVA DE HORAS TÉCNICAS'!F$945+'ESTIMATIVA DE HORAS TÉCNICAS'!J270*'ESTIMATIVA DE HORAS TÉCNICAS'!F$946+'ESTIMATIVA DE HORAS TÉCNICAS'!K270*'ESTIMATIVA DE HORAS TÉCNICAS'!$F$944+'ESTIMATIVA DE HORAS TÉCNICAS'!L270*'ESTIMATIVA DE HORAS TÉCNICAS'!F$951+'ESTIMATIVA DE HORAS TÉCNICAS'!M270*'ESTIMATIVA DE HORAS TÉCNICAS'!F$950+'ESTIMATIVA DE HORAS TÉCNICAS'!N270*'ESTIMATIVA DE HORAS TÉCNICAS'!F$949+'ESTIMATIVA DE HORAS TÉCNICAS'!O270*'ESTIMATIVA DE HORAS TÉCNICAS'!F$948+'ESTIMATIVA DE HORAS TÉCNICAS'!P270*'ESTIMATIVA DE HORAS TÉCNICAS'!$F$947+'ESTIMATIVA DE HORAS TÉCNICAS'!Q270*'ESTIMATIVA DE HORAS TÉCNICAS'!F$953+'ESTIMATIVA DE HORAS TÉCNICAS'!R270*'ESTIMATIVA DE HORAS TÉCNICAS'!F$954</f>
        <v>8604.9076749104352</v>
      </c>
      <c r="E268" s="411">
        <f>'CALCULO DO FATO K'!D$10</f>
        <v>2.3175723620309046</v>
      </c>
      <c r="F268" s="714"/>
      <c r="G268" s="714"/>
      <c r="H268" s="411">
        <f t="shared" si="5"/>
        <v>19942.496205200037</v>
      </c>
      <c r="I268" s="416"/>
      <c r="J268" s="767"/>
    </row>
    <row r="269" spans="1:10" ht="15.75">
      <c r="A269" s="433" t="s">
        <v>319</v>
      </c>
      <c r="B269" s="428" t="s">
        <v>320</v>
      </c>
      <c r="C269" s="409"/>
      <c r="D269" s="795">
        <f>'ESTIMATIVA DE HORAS TÉCNICAS'!F271*'ESTIMATIVA DE HORAS TÉCNICAS'!F$943+'ESTIMATIVA DE HORAS TÉCNICAS'!G271*'ESTIMATIVA DE HORAS TÉCNICAS'!F$942+'ESTIMATIVA DE HORAS TÉCNICAS'!H271*'ESTIMATIVA DE HORAS TÉCNICAS'!F$941+'ESTIMATIVA DE HORAS TÉCNICAS'!I271*'ESTIMATIVA DE HORAS TÉCNICAS'!F$945+'ESTIMATIVA DE HORAS TÉCNICAS'!J271*'ESTIMATIVA DE HORAS TÉCNICAS'!F$946+'ESTIMATIVA DE HORAS TÉCNICAS'!K271*'ESTIMATIVA DE HORAS TÉCNICAS'!$F$944+'ESTIMATIVA DE HORAS TÉCNICAS'!L271*'ESTIMATIVA DE HORAS TÉCNICAS'!F$951+'ESTIMATIVA DE HORAS TÉCNICAS'!M271*'ESTIMATIVA DE HORAS TÉCNICAS'!F$950+'ESTIMATIVA DE HORAS TÉCNICAS'!N271*'ESTIMATIVA DE HORAS TÉCNICAS'!F$949+'ESTIMATIVA DE HORAS TÉCNICAS'!O271*'ESTIMATIVA DE HORAS TÉCNICAS'!F$948+'ESTIMATIVA DE HORAS TÉCNICAS'!P271*'ESTIMATIVA DE HORAS TÉCNICAS'!$F$947+'ESTIMATIVA DE HORAS TÉCNICAS'!Q271*'ESTIMATIVA DE HORAS TÉCNICAS'!F$953+'ESTIMATIVA DE HORAS TÉCNICAS'!R271*'ESTIMATIVA DE HORAS TÉCNICAS'!F$954</f>
        <v>10039.058954062177</v>
      </c>
      <c r="E269" s="411">
        <f>'CALCULO DO FATO K'!D$10</f>
        <v>2.3175723620309046</v>
      </c>
      <c r="F269" s="714"/>
      <c r="G269" s="714"/>
      <c r="H269" s="411">
        <f t="shared" si="5"/>
        <v>23266.24557273338</v>
      </c>
      <c r="I269" s="416"/>
      <c r="J269" s="767"/>
    </row>
    <row r="270" spans="1:10" s="766" customFormat="1" ht="15.75">
      <c r="A270" s="433" t="s">
        <v>321</v>
      </c>
      <c r="B270" s="768" t="s">
        <v>93</v>
      </c>
      <c r="C270" s="467"/>
      <c r="D270" s="792"/>
      <c r="E270" s="771"/>
      <c r="F270" s="770">
        <f>'OUTROS CUSTOS DIRETOS'!F26</f>
        <v>4369.7</v>
      </c>
      <c r="G270" s="770">
        <f>'CALCULO DO FATO K'!$D$11</f>
        <v>1.2004415011037526</v>
      </c>
      <c r="H270" s="770">
        <f>F270*G270</f>
        <v>5245.5692273730674</v>
      </c>
      <c r="I270" s="394">
        <f>SUM(H259:H270)</f>
        <v>337620.50598070701</v>
      </c>
      <c r="J270" s="767"/>
    </row>
    <row r="271" spans="1:10" ht="15.75">
      <c r="A271" s="426"/>
      <c r="B271" s="91"/>
      <c r="C271" s="409"/>
      <c r="D271" s="787"/>
      <c r="E271" s="714"/>
      <c r="F271" s="714"/>
      <c r="G271" s="714"/>
      <c r="H271" s="714"/>
      <c r="I271" s="416"/>
      <c r="J271" s="767"/>
    </row>
    <row r="272" spans="1:10" ht="15.75">
      <c r="A272" s="391" t="s">
        <v>322</v>
      </c>
      <c r="B272" s="419" t="s">
        <v>323</v>
      </c>
      <c r="C272" s="474"/>
      <c r="D272" s="794"/>
      <c r="E272" s="475"/>
      <c r="F272" s="475"/>
      <c r="G272" s="475"/>
      <c r="H272" s="475"/>
      <c r="I272" s="476"/>
      <c r="J272" s="767"/>
    </row>
    <row r="273" spans="1:10" ht="15.75">
      <c r="A273" s="426"/>
      <c r="B273" s="91"/>
      <c r="C273" s="409"/>
      <c r="D273" s="787"/>
      <c r="E273" s="714"/>
      <c r="F273" s="714"/>
      <c r="G273" s="714"/>
      <c r="H273" s="714"/>
      <c r="I273" s="416"/>
      <c r="J273" s="767"/>
    </row>
    <row r="274" spans="1:10" ht="15.75">
      <c r="A274" s="391" t="s">
        <v>324</v>
      </c>
      <c r="B274" s="427" t="s">
        <v>97</v>
      </c>
      <c r="C274" s="474"/>
      <c r="D274" s="794"/>
      <c r="E274" s="475"/>
      <c r="F274" s="475"/>
      <c r="G274" s="475"/>
      <c r="H274" s="475"/>
      <c r="I274" s="476"/>
      <c r="J274" s="767"/>
    </row>
    <row r="275" spans="1:10" ht="15.75">
      <c r="A275" s="426" t="s">
        <v>325</v>
      </c>
      <c r="B275" s="428" t="s">
        <v>326</v>
      </c>
      <c r="C275" s="409"/>
      <c r="D275" s="787">
        <f>'ESTIMATIVA DE HORAS TÉCNICAS'!F278*'ESTIMATIVA DE HORAS TÉCNICAS'!F$943+'ESTIMATIVA DE HORAS TÉCNICAS'!G278*'ESTIMATIVA DE HORAS TÉCNICAS'!F$942+'ESTIMATIVA DE HORAS TÉCNICAS'!H278*'ESTIMATIVA DE HORAS TÉCNICAS'!F$941+'ESTIMATIVA DE HORAS TÉCNICAS'!I278*'ESTIMATIVA DE HORAS TÉCNICAS'!F$945+'ESTIMATIVA DE HORAS TÉCNICAS'!J278*'ESTIMATIVA DE HORAS TÉCNICAS'!F$946+'ESTIMATIVA DE HORAS TÉCNICAS'!K278*'ESTIMATIVA DE HORAS TÉCNICAS'!$F$944+'ESTIMATIVA DE HORAS TÉCNICAS'!L278*'ESTIMATIVA DE HORAS TÉCNICAS'!F$951+'ESTIMATIVA DE HORAS TÉCNICAS'!M278*'ESTIMATIVA DE HORAS TÉCNICAS'!F$950+'ESTIMATIVA DE HORAS TÉCNICAS'!N278*'ESTIMATIVA DE HORAS TÉCNICAS'!F$949+'ESTIMATIVA DE HORAS TÉCNICAS'!O278*'ESTIMATIVA DE HORAS TÉCNICAS'!F$948+'ESTIMATIVA DE HORAS TÉCNICAS'!P278*'ESTIMATIVA DE HORAS TÉCNICAS'!$F$947+'ESTIMATIVA DE HORAS TÉCNICAS'!Q278*'ESTIMATIVA DE HORAS TÉCNICAS'!F$953+'ESTIMATIVA DE HORAS TÉCNICAS'!R278*'ESTIMATIVA DE HORAS TÉCNICAS'!F$954</f>
        <v>9793.3239046573435</v>
      </c>
      <c r="E275" s="411">
        <f>'CALCULO DO FATO K'!D$10</f>
        <v>2.3175723620309046</v>
      </c>
      <c r="F275" s="714"/>
      <c r="G275" s="714"/>
      <c r="H275" s="411">
        <f t="shared" ref="H275:H280" si="6">D275*E275</f>
        <v>22696.736813850439</v>
      </c>
      <c r="I275" s="416"/>
      <c r="J275" s="767"/>
    </row>
    <row r="276" spans="1:10" ht="15.75">
      <c r="A276" s="426" t="s">
        <v>327</v>
      </c>
      <c r="B276" s="428" t="s">
        <v>135</v>
      </c>
      <c r="C276" s="409"/>
      <c r="D276" s="787">
        <f>'ESTIMATIVA DE HORAS TÉCNICAS'!F279*'ESTIMATIVA DE HORAS TÉCNICAS'!F$943+'ESTIMATIVA DE HORAS TÉCNICAS'!G279*'ESTIMATIVA DE HORAS TÉCNICAS'!F$942+'ESTIMATIVA DE HORAS TÉCNICAS'!H279*'ESTIMATIVA DE HORAS TÉCNICAS'!F$941+'ESTIMATIVA DE HORAS TÉCNICAS'!I279*'ESTIMATIVA DE HORAS TÉCNICAS'!F$945+'ESTIMATIVA DE HORAS TÉCNICAS'!J279*'ESTIMATIVA DE HORAS TÉCNICAS'!F$946+'ESTIMATIVA DE HORAS TÉCNICAS'!K279*'ESTIMATIVA DE HORAS TÉCNICAS'!$F$944+'ESTIMATIVA DE HORAS TÉCNICAS'!L279*'ESTIMATIVA DE HORAS TÉCNICAS'!F$951+'ESTIMATIVA DE HORAS TÉCNICAS'!M279*'ESTIMATIVA DE HORAS TÉCNICAS'!F$950+'ESTIMATIVA DE HORAS TÉCNICAS'!N279*'ESTIMATIVA DE HORAS TÉCNICAS'!F$949+'ESTIMATIVA DE HORAS TÉCNICAS'!O279*'ESTIMATIVA DE HORAS TÉCNICAS'!F$948+'ESTIMATIVA DE HORAS TÉCNICAS'!P279*'ESTIMATIVA DE HORAS TÉCNICAS'!$F$947+'ESTIMATIVA DE HORAS TÉCNICAS'!Q279*'ESTIMATIVA DE HORAS TÉCNICAS'!F$953+'ESTIMATIVA DE HORAS TÉCNICAS'!R279*'ESTIMATIVA DE HORAS TÉCNICAS'!F$954</f>
        <v>9793.3239046573435</v>
      </c>
      <c r="E276" s="411">
        <f>'CALCULO DO FATO K'!D$10</f>
        <v>2.3175723620309046</v>
      </c>
      <c r="F276" s="714"/>
      <c r="G276" s="714"/>
      <c r="H276" s="411">
        <f t="shared" si="6"/>
        <v>22696.736813850439</v>
      </c>
      <c r="I276" s="416"/>
      <c r="J276" s="767"/>
    </row>
    <row r="277" spans="1:10" s="403" customFormat="1" ht="15.75">
      <c r="A277" s="426" t="s">
        <v>328</v>
      </c>
      <c r="B277" s="428" t="s">
        <v>103</v>
      </c>
      <c r="C277" s="409"/>
      <c r="D277" s="787">
        <f>'ESTIMATIVA DE HORAS TÉCNICAS'!F280*'ESTIMATIVA DE HORAS TÉCNICAS'!F$943+'ESTIMATIVA DE HORAS TÉCNICAS'!G280*'ESTIMATIVA DE HORAS TÉCNICAS'!F$942+'ESTIMATIVA DE HORAS TÉCNICAS'!H280*'ESTIMATIVA DE HORAS TÉCNICAS'!F$941+'ESTIMATIVA DE HORAS TÉCNICAS'!I280*'ESTIMATIVA DE HORAS TÉCNICAS'!F$945+'ESTIMATIVA DE HORAS TÉCNICAS'!J280*'ESTIMATIVA DE HORAS TÉCNICAS'!F$946+'ESTIMATIVA DE HORAS TÉCNICAS'!K280*'ESTIMATIVA DE HORAS TÉCNICAS'!$F$944+'ESTIMATIVA DE HORAS TÉCNICAS'!L280*'ESTIMATIVA DE HORAS TÉCNICAS'!F$951+'ESTIMATIVA DE HORAS TÉCNICAS'!M280*'ESTIMATIVA DE HORAS TÉCNICAS'!F$950+'ESTIMATIVA DE HORAS TÉCNICAS'!N280*'ESTIMATIVA DE HORAS TÉCNICAS'!F$949+'ESTIMATIVA DE HORAS TÉCNICAS'!O280*'ESTIMATIVA DE HORAS TÉCNICAS'!F$948+'ESTIMATIVA DE HORAS TÉCNICAS'!P280*'ESTIMATIVA DE HORAS TÉCNICAS'!$F$947+'ESTIMATIVA DE HORAS TÉCNICAS'!Q280*'ESTIMATIVA DE HORAS TÉCNICAS'!F$953+'ESTIMATIVA DE HORAS TÉCNICAS'!R280*'ESTIMATIVA DE HORAS TÉCNICAS'!F$954</f>
        <v>29379.971713972031</v>
      </c>
      <c r="E277" s="411">
        <f>'CALCULO DO FATO K'!D$10</f>
        <v>2.3175723620309046</v>
      </c>
      <c r="F277" s="714"/>
      <c r="G277" s="714"/>
      <c r="H277" s="411">
        <f t="shared" si="6"/>
        <v>68090.210441551317</v>
      </c>
      <c r="I277" s="416"/>
      <c r="J277" s="767"/>
    </row>
    <row r="278" spans="1:10" ht="15.75">
      <c r="A278" s="426" t="s">
        <v>329</v>
      </c>
      <c r="B278" s="428" t="s">
        <v>105</v>
      </c>
      <c r="C278" s="409"/>
      <c r="D278" s="787">
        <f>'ESTIMATIVA DE HORAS TÉCNICAS'!F281*'ESTIMATIVA DE HORAS TÉCNICAS'!F$943+'ESTIMATIVA DE HORAS TÉCNICAS'!G281*'ESTIMATIVA DE HORAS TÉCNICAS'!F$942+'ESTIMATIVA DE HORAS TÉCNICAS'!H281*'ESTIMATIVA DE HORAS TÉCNICAS'!F$941+'ESTIMATIVA DE HORAS TÉCNICAS'!I281*'ESTIMATIVA DE HORAS TÉCNICAS'!F$945+'ESTIMATIVA DE HORAS TÉCNICAS'!J281*'ESTIMATIVA DE HORAS TÉCNICAS'!F$946+'ESTIMATIVA DE HORAS TÉCNICAS'!K281*'ESTIMATIVA DE HORAS TÉCNICAS'!$F$944+'ESTIMATIVA DE HORAS TÉCNICAS'!L281*'ESTIMATIVA DE HORAS TÉCNICAS'!F$951+'ESTIMATIVA DE HORAS TÉCNICAS'!M281*'ESTIMATIVA DE HORAS TÉCNICAS'!F$950+'ESTIMATIVA DE HORAS TÉCNICAS'!N281*'ESTIMATIVA DE HORAS TÉCNICAS'!F$949+'ESTIMATIVA DE HORAS TÉCNICAS'!O281*'ESTIMATIVA DE HORAS TÉCNICAS'!F$948+'ESTIMATIVA DE HORAS TÉCNICAS'!P281*'ESTIMATIVA DE HORAS TÉCNICAS'!$F$947+'ESTIMATIVA DE HORAS TÉCNICAS'!Q281*'ESTIMATIVA DE HORAS TÉCNICAS'!F$953+'ESTIMATIVA DE HORAS TÉCNICAS'!R281*'ESTIMATIVA DE HORAS TÉCNICAS'!F$954</f>
        <v>9793.3239046573435</v>
      </c>
      <c r="E278" s="411">
        <f>'CALCULO DO FATO K'!D$10</f>
        <v>2.3175723620309046</v>
      </c>
      <c r="F278" s="714"/>
      <c r="G278" s="714"/>
      <c r="H278" s="411">
        <f t="shared" si="6"/>
        <v>22696.736813850439</v>
      </c>
      <c r="I278" s="416"/>
      <c r="J278" s="767"/>
    </row>
    <row r="279" spans="1:10" ht="15.75">
      <c r="A279" s="426" t="s">
        <v>330</v>
      </c>
      <c r="B279" s="428" t="s">
        <v>142</v>
      </c>
      <c r="C279" s="409"/>
      <c r="D279" s="787">
        <f>'ESTIMATIVA DE HORAS TÉCNICAS'!F282*'ESTIMATIVA DE HORAS TÉCNICAS'!F$943+'ESTIMATIVA DE HORAS TÉCNICAS'!G282*'ESTIMATIVA DE HORAS TÉCNICAS'!F$942+'ESTIMATIVA DE HORAS TÉCNICAS'!H282*'ESTIMATIVA DE HORAS TÉCNICAS'!F$941+'ESTIMATIVA DE HORAS TÉCNICAS'!I282*'ESTIMATIVA DE HORAS TÉCNICAS'!F$945+'ESTIMATIVA DE HORAS TÉCNICAS'!J282*'ESTIMATIVA DE HORAS TÉCNICAS'!F$946+'ESTIMATIVA DE HORAS TÉCNICAS'!K282*'ESTIMATIVA DE HORAS TÉCNICAS'!$F$944+'ESTIMATIVA DE HORAS TÉCNICAS'!L282*'ESTIMATIVA DE HORAS TÉCNICAS'!F$951+'ESTIMATIVA DE HORAS TÉCNICAS'!M282*'ESTIMATIVA DE HORAS TÉCNICAS'!F$950+'ESTIMATIVA DE HORAS TÉCNICAS'!N282*'ESTIMATIVA DE HORAS TÉCNICAS'!F$949+'ESTIMATIVA DE HORAS TÉCNICAS'!O282*'ESTIMATIVA DE HORAS TÉCNICAS'!F$948+'ESTIMATIVA DE HORAS TÉCNICAS'!P282*'ESTIMATIVA DE HORAS TÉCNICAS'!$F$947+'ESTIMATIVA DE HORAS TÉCNICAS'!Q282*'ESTIMATIVA DE HORAS TÉCNICAS'!F$953+'ESTIMATIVA DE HORAS TÉCNICAS'!R282*'ESTIMATIVA DE HORAS TÉCNICAS'!F$954</f>
        <v>29379.971713972031</v>
      </c>
      <c r="E279" s="411">
        <f>'CALCULO DO FATO K'!D$10</f>
        <v>2.3175723620309046</v>
      </c>
      <c r="F279" s="714"/>
      <c r="G279" s="714"/>
      <c r="H279" s="411">
        <f t="shared" si="6"/>
        <v>68090.210441551317</v>
      </c>
      <c r="I279" s="416"/>
      <c r="J279" s="767"/>
    </row>
    <row r="280" spans="1:10" ht="15.75">
      <c r="A280" s="426" t="s">
        <v>331</v>
      </c>
      <c r="B280" s="428" t="s">
        <v>150</v>
      </c>
      <c r="C280" s="409"/>
      <c r="D280" s="787">
        <f>'ESTIMATIVA DE HORAS TÉCNICAS'!F283*'ESTIMATIVA DE HORAS TÉCNICAS'!F$943+'ESTIMATIVA DE HORAS TÉCNICAS'!G283*'ESTIMATIVA DE HORAS TÉCNICAS'!F$942+'ESTIMATIVA DE HORAS TÉCNICAS'!H283*'ESTIMATIVA DE HORAS TÉCNICAS'!F$941+'ESTIMATIVA DE HORAS TÉCNICAS'!I283*'ESTIMATIVA DE HORAS TÉCNICAS'!F$945+'ESTIMATIVA DE HORAS TÉCNICAS'!J283*'ESTIMATIVA DE HORAS TÉCNICAS'!F$946+'ESTIMATIVA DE HORAS TÉCNICAS'!K283*'ESTIMATIVA DE HORAS TÉCNICAS'!$F$944+'ESTIMATIVA DE HORAS TÉCNICAS'!L283*'ESTIMATIVA DE HORAS TÉCNICAS'!F$951+'ESTIMATIVA DE HORAS TÉCNICAS'!M283*'ESTIMATIVA DE HORAS TÉCNICAS'!F$950+'ESTIMATIVA DE HORAS TÉCNICAS'!N283*'ESTIMATIVA DE HORAS TÉCNICAS'!F$949+'ESTIMATIVA DE HORAS TÉCNICAS'!O283*'ESTIMATIVA DE HORAS TÉCNICAS'!F$948+'ESTIMATIVA DE HORAS TÉCNICAS'!P283*'ESTIMATIVA DE HORAS TÉCNICAS'!$F$947+'ESTIMATIVA DE HORAS TÉCNICAS'!Q283*'ESTIMATIVA DE HORAS TÉCNICAS'!F$953+'ESTIMATIVA DE HORAS TÉCNICAS'!R283*'ESTIMATIVA DE HORAS TÉCNICAS'!F$954</f>
        <v>9793.3239046573435</v>
      </c>
      <c r="E280" s="411">
        <f>'CALCULO DO FATO K'!D$10</f>
        <v>2.3175723620309046</v>
      </c>
      <c r="F280" s="714"/>
      <c r="G280" s="714"/>
      <c r="H280" s="411">
        <f t="shared" si="6"/>
        <v>22696.736813850439</v>
      </c>
      <c r="I280" s="416">
        <f>SUM(H275:H280)</f>
        <v>226967.36813850439</v>
      </c>
      <c r="J280" s="767"/>
    </row>
    <row r="281" spans="1:10" s="532" customFormat="1" ht="15.75">
      <c r="A281" s="426"/>
      <c r="B281" s="428"/>
      <c r="C281" s="409"/>
      <c r="D281" s="787"/>
      <c r="E281" s="411"/>
      <c r="F281" s="714"/>
      <c r="G281" s="714"/>
      <c r="H281" s="411"/>
      <c r="I281" s="416"/>
      <c r="J281" s="767"/>
    </row>
    <row r="282" spans="1:10" ht="15.75">
      <c r="A282" s="426"/>
      <c r="B282" s="768"/>
      <c r="C282" s="409"/>
      <c r="D282" s="787"/>
      <c r="E282" s="714"/>
      <c r="F282" s="714"/>
      <c r="G282" s="714"/>
      <c r="H282" s="714"/>
      <c r="I282" s="416"/>
      <c r="J282" s="767"/>
    </row>
    <row r="283" spans="1:10" ht="15.75">
      <c r="A283" s="391" t="s">
        <v>332</v>
      </c>
      <c r="B283" s="427" t="s">
        <v>107</v>
      </c>
      <c r="C283" s="474"/>
      <c r="D283" s="480"/>
      <c r="E283" s="475"/>
      <c r="F283" s="475"/>
      <c r="G283" s="475"/>
      <c r="H283" s="475"/>
      <c r="I283" s="476"/>
      <c r="J283" s="767"/>
    </row>
    <row r="284" spans="1:10" ht="15.75">
      <c r="A284" s="426" t="s">
        <v>333</v>
      </c>
      <c r="B284" s="428" t="s">
        <v>326</v>
      </c>
      <c r="C284" s="409"/>
      <c r="D284" s="787">
        <f>'ESTIMATIVA DE HORAS TÉCNICAS'!F287*'ESTIMATIVA DE HORAS TÉCNICAS'!F$943+'ESTIMATIVA DE HORAS TÉCNICAS'!G287*'ESTIMATIVA DE HORAS TÉCNICAS'!F$942+'ESTIMATIVA DE HORAS TÉCNICAS'!H287*'ESTIMATIVA DE HORAS TÉCNICAS'!F$941+'ESTIMATIVA DE HORAS TÉCNICAS'!I287*'ESTIMATIVA DE HORAS TÉCNICAS'!F$945+'ESTIMATIVA DE HORAS TÉCNICAS'!J287*'ESTIMATIVA DE HORAS TÉCNICAS'!F$946+'ESTIMATIVA DE HORAS TÉCNICAS'!K287*'ESTIMATIVA DE HORAS TÉCNICAS'!$F$944+'ESTIMATIVA DE HORAS TÉCNICAS'!L287*'ESTIMATIVA DE HORAS TÉCNICAS'!F$951+'ESTIMATIVA DE HORAS TÉCNICAS'!M287*'ESTIMATIVA DE HORAS TÉCNICAS'!F$950+'ESTIMATIVA DE HORAS TÉCNICAS'!N287*'ESTIMATIVA DE HORAS TÉCNICAS'!F$949+'ESTIMATIVA DE HORAS TÉCNICAS'!O287*'ESTIMATIVA DE HORAS TÉCNICAS'!F$948+'ESTIMATIVA DE HORAS TÉCNICAS'!P287*'ESTIMATIVA DE HORAS TÉCNICAS'!$F$947+'ESTIMATIVA DE HORAS TÉCNICAS'!Q287*'ESTIMATIVA DE HORAS TÉCNICAS'!F$953+'ESTIMATIVA DE HORAS TÉCNICAS'!R287*'ESTIMATIVA DE HORAS TÉCNICAS'!F$954</f>
        <v>978.21994764821466</v>
      </c>
      <c r="E284" s="411">
        <f>'CALCULO DO FATO K'!D$10</f>
        <v>2.3175723620309046</v>
      </c>
      <c r="F284" s="714"/>
      <c r="G284" s="714"/>
      <c r="H284" s="411">
        <f t="shared" ref="H284:H289" si="7">D284*E284</f>
        <v>2267.0955146568208</v>
      </c>
      <c r="I284" s="416"/>
      <c r="J284" s="767"/>
    </row>
    <row r="285" spans="1:10" ht="15.75">
      <c r="A285" s="433" t="s">
        <v>334</v>
      </c>
      <c r="B285" s="428" t="s">
        <v>135</v>
      </c>
      <c r="C285" s="409"/>
      <c r="D285" s="787">
        <f>'ESTIMATIVA DE HORAS TÉCNICAS'!F288*'ESTIMATIVA DE HORAS TÉCNICAS'!F$943+'ESTIMATIVA DE HORAS TÉCNICAS'!G288*'ESTIMATIVA DE HORAS TÉCNICAS'!F$942+'ESTIMATIVA DE HORAS TÉCNICAS'!H288*'ESTIMATIVA DE HORAS TÉCNICAS'!F$941+'ESTIMATIVA DE HORAS TÉCNICAS'!I288*'ESTIMATIVA DE HORAS TÉCNICAS'!F$945+'ESTIMATIVA DE HORAS TÉCNICAS'!J288*'ESTIMATIVA DE HORAS TÉCNICAS'!F$946+'ESTIMATIVA DE HORAS TÉCNICAS'!K288*'ESTIMATIVA DE HORAS TÉCNICAS'!$F$944+'ESTIMATIVA DE HORAS TÉCNICAS'!L288*'ESTIMATIVA DE HORAS TÉCNICAS'!F$951+'ESTIMATIVA DE HORAS TÉCNICAS'!M288*'ESTIMATIVA DE HORAS TÉCNICAS'!F$950+'ESTIMATIVA DE HORAS TÉCNICAS'!N288*'ESTIMATIVA DE HORAS TÉCNICAS'!F$949+'ESTIMATIVA DE HORAS TÉCNICAS'!O288*'ESTIMATIVA DE HORAS TÉCNICAS'!F$948+'ESTIMATIVA DE HORAS TÉCNICAS'!P288*'ESTIMATIVA DE HORAS TÉCNICAS'!$F$947+'ESTIMATIVA DE HORAS TÉCNICAS'!Q288*'ESTIMATIVA DE HORAS TÉCNICAS'!F$953+'ESTIMATIVA DE HORAS TÉCNICAS'!R288*'ESTIMATIVA DE HORAS TÉCNICAS'!F$954</f>
        <v>1956.4398952964293</v>
      </c>
      <c r="E285" s="411">
        <f>'CALCULO DO FATO K'!D$10</f>
        <v>2.3175723620309046</v>
      </c>
      <c r="F285" s="714"/>
      <c r="G285" s="714"/>
      <c r="H285" s="411">
        <f t="shared" si="7"/>
        <v>4534.1910293136416</v>
      </c>
      <c r="I285" s="416"/>
      <c r="J285" s="767"/>
    </row>
    <row r="286" spans="1:10" ht="15.75">
      <c r="A286" s="433" t="s">
        <v>335</v>
      </c>
      <c r="B286" s="428" t="s">
        <v>112</v>
      </c>
      <c r="C286" s="409"/>
      <c r="D286" s="787">
        <f>'ESTIMATIVA DE HORAS TÉCNICAS'!F289*'ESTIMATIVA DE HORAS TÉCNICAS'!F$943+'ESTIMATIVA DE HORAS TÉCNICAS'!G289*'ESTIMATIVA DE HORAS TÉCNICAS'!F$942+'ESTIMATIVA DE HORAS TÉCNICAS'!H289*'ESTIMATIVA DE HORAS TÉCNICAS'!F$941+'ESTIMATIVA DE HORAS TÉCNICAS'!I289*'ESTIMATIVA DE HORAS TÉCNICAS'!F$945+'ESTIMATIVA DE HORAS TÉCNICAS'!J289*'ESTIMATIVA DE HORAS TÉCNICAS'!F$946+'ESTIMATIVA DE HORAS TÉCNICAS'!K289*'ESTIMATIVA DE HORAS TÉCNICAS'!$F$944+'ESTIMATIVA DE HORAS TÉCNICAS'!L289*'ESTIMATIVA DE HORAS TÉCNICAS'!F$951+'ESTIMATIVA DE HORAS TÉCNICAS'!M289*'ESTIMATIVA DE HORAS TÉCNICAS'!F$950+'ESTIMATIVA DE HORAS TÉCNICAS'!N289*'ESTIMATIVA DE HORAS TÉCNICAS'!F$949+'ESTIMATIVA DE HORAS TÉCNICAS'!O289*'ESTIMATIVA DE HORAS TÉCNICAS'!F$948+'ESTIMATIVA DE HORAS TÉCNICAS'!P289*'ESTIMATIVA DE HORAS TÉCNICAS'!$F$947+'ESTIMATIVA DE HORAS TÉCNICAS'!Q289*'ESTIMATIVA DE HORAS TÉCNICAS'!F$953+'ESTIMATIVA DE HORAS TÉCNICAS'!R289*'ESTIMATIVA DE HORAS TÉCNICAS'!F$954</f>
        <v>1956.4398952964293</v>
      </c>
      <c r="E286" s="411">
        <f>'CALCULO DO FATO K'!D$10</f>
        <v>2.3175723620309046</v>
      </c>
      <c r="F286" s="714"/>
      <c r="G286" s="714"/>
      <c r="H286" s="411">
        <f t="shared" si="7"/>
        <v>4534.1910293136416</v>
      </c>
      <c r="I286" s="416"/>
      <c r="J286" s="767"/>
    </row>
    <row r="287" spans="1:10" ht="15.75">
      <c r="A287" s="433" t="s">
        <v>336</v>
      </c>
      <c r="B287" s="428" t="s">
        <v>105</v>
      </c>
      <c r="C287" s="409"/>
      <c r="D287" s="787">
        <f>'ESTIMATIVA DE HORAS TÉCNICAS'!F290*'ESTIMATIVA DE HORAS TÉCNICAS'!F$943+'ESTIMATIVA DE HORAS TÉCNICAS'!G290*'ESTIMATIVA DE HORAS TÉCNICAS'!F$942+'ESTIMATIVA DE HORAS TÉCNICAS'!H290*'ESTIMATIVA DE HORAS TÉCNICAS'!F$941+'ESTIMATIVA DE HORAS TÉCNICAS'!I290*'ESTIMATIVA DE HORAS TÉCNICAS'!F$945+'ESTIMATIVA DE HORAS TÉCNICAS'!J290*'ESTIMATIVA DE HORAS TÉCNICAS'!F$946+'ESTIMATIVA DE HORAS TÉCNICAS'!K290*'ESTIMATIVA DE HORAS TÉCNICAS'!$F$944+'ESTIMATIVA DE HORAS TÉCNICAS'!L290*'ESTIMATIVA DE HORAS TÉCNICAS'!F$951+'ESTIMATIVA DE HORAS TÉCNICAS'!M290*'ESTIMATIVA DE HORAS TÉCNICAS'!F$950+'ESTIMATIVA DE HORAS TÉCNICAS'!N290*'ESTIMATIVA DE HORAS TÉCNICAS'!F$949+'ESTIMATIVA DE HORAS TÉCNICAS'!O290*'ESTIMATIVA DE HORAS TÉCNICAS'!F$948+'ESTIMATIVA DE HORAS TÉCNICAS'!P290*'ESTIMATIVA DE HORAS TÉCNICAS'!$F$947+'ESTIMATIVA DE HORAS TÉCNICAS'!Q290*'ESTIMATIVA DE HORAS TÉCNICAS'!F$953+'ESTIMATIVA DE HORAS TÉCNICAS'!R290*'ESTIMATIVA DE HORAS TÉCNICAS'!F$954</f>
        <v>978.21994764821466</v>
      </c>
      <c r="E287" s="411">
        <f>'CALCULO DO FATO K'!D$10</f>
        <v>2.3175723620309046</v>
      </c>
      <c r="F287" s="714"/>
      <c r="G287" s="714"/>
      <c r="H287" s="411">
        <f t="shared" si="7"/>
        <v>2267.0955146568208</v>
      </c>
      <c r="I287" s="416"/>
      <c r="J287" s="767"/>
    </row>
    <row r="288" spans="1:10" ht="15.75">
      <c r="A288" s="433" t="s">
        <v>337</v>
      </c>
      <c r="B288" s="428" t="s">
        <v>142</v>
      </c>
      <c r="C288" s="409"/>
      <c r="D288" s="787">
        <f>'ESTIMATIVA DE HORAS TÉCNICAS'!F291*'ESTIMATIVA DE HORAS TÉCNICAS'!F$943+'ESTIMATIVA DE HORAS TÉCNICAS'!G291*'ESTIMATIVA DE HORAS TÉCNICAS'!F$942+'ESTIMATIVA DE HORAS TÉCNICAS'!H291*'ESTIMATIVA DE HORAS TÉCNICAS'!F$941+'ESTIMATIVA DE HORAS TÉCNICAS'!I291*'ESTIMATIVA DE HORAS TÉCNICAS'!F$945+'ESTIMATIVA DE HORAS TÉCNICAS'!J291*'ESTIMATIVA DE HORAS TÉCNICAS'!F$946+'ESTIMATIVA DE HORAS TÉCNICAS'!K291*'ESTIMATIVA DE HORAS TÉCNICAS'!$F$944+'ESTIMATIVA DE HORAS TÉCNICAS'!L291*'ESTIMATIVA DE HORAS TÉCNICAS'!F$951+'ESTIMATIVA DE HORAS TÉCNICAS'!M291*'ESTIMATIVA DE HORAS TÉCNICAS'!F$950+'ESTIMATIVA DE HORAS TÉCNICAS'!N291*'ESTIMATIVA DE HORAS TÉCNICAS'!F$949+'ESTIMATIVA DE HORAS TÉCNICAS'!O291*'ESTIMATIVA DE HORAS TÉCNICAS'!F$948+'ESTIMATIVA DE HORAS TÉCNICAS'!P291*'ESTIMATIVA DE HORAS TÉCNICAS'!$F$947+'ESTIMATIVA DE HORAS TÉCNICAS'!Q291*'ESTIMATIVA DE HORAS TÉCNICAS'!F$953+'ESTIMATIVA DE HORAS TÉCNICAS'!R291*'ESTIMATIVA DE HORAS TÉCNICAS'!F$954</f>
        <v>1956.4398952964293</v>
      </c>
      <c r="E288" s="411">
        <f>'CALCULO DO FATO K'!D$10</f>
        <v>2.3175723620309046</v>
      </c>
      <c r="F288" s="714"/>
      <c r="G288" s="714"/>
      <c r="H288" s="411">
        <f t="shared" si="7"/>
        <v>4534.1910293136416</v>
      </c>
      <c r="I288" s="416"/>
      <c r="J288" s="767"/>
    </row>
    <row r="289" spans="1:10" ht="15.75">
      <c r="A289" s="433" t="s">
        <v>338</v>
      </c>
      <c r="B289" s="768" t="s">
        <v>150</v>
      </c>
      <c r="C289" s="409"/>
      <c r="D289" s="787">
        <f>'ESTIMATIVA DE HORAS TÉCNICAS'!F292*'ESTIMATIVA DE HORAS TÉCNICAS'!F$943+'ESTIMATIVA DE HORAS TÉCNICAS'!G292*'ESTIMATIVA DE HORAS TÉCNICAS'!F$942+'ESTIMATIVA DE HORAS TÉCNICAS'!H292*'ESTIMATIVA DE HORAS TÉCNICAS'!F$941+'ESTIMATIVA DE HORAS TÉCNICAS'!I292*'ESTIMATIVA DE HORAS TÉCNICAS'!F$945+'ESTIMATIVA DE HORAS TÉCNICAS'!J292*'ESTIMATIVA DE HORAS TÉCNICAS'!F$946+'ESTIMATIVA DE HORAS TÉCNICAS'!K292*'ESTIMATIVA DE HORAS TÉCNICAS'!$F$944+'ESTIMATIVA DE HORAS TÉCNICAS'!L292*'ESTIMATIVA DE HORAS TÉCNICAS'!F$951+'ESTIMATIVA DE HORAS TÉCNICAS'!M292*'ESTIMATIVA DE HORAS TÉCNICAS'!F$950+'ESTIMATIVA DE HORAS TÉCNICAS'!N292*'ESTIMATIVA DE HORAS TÉCNICAS'!F$949+'ESTIMATIVA DE HORAS TÉCNICAS'!O292*'ESTIMATIVA DE HORAS TÉCNICAS'!F$948+'ESTIMATIVA DE HORAS TÉCNICAS'!P292*'ESTIMATIVA DE HORAS TÉCNICAS'!$F$947+'ESTIMATIVA DE HORAS TÉCNICAS'!Q292*'ESTIMATIVA DE HORAS TÉCNICAS'!F$953+'ESTIMATIVA DE HORAS TÉCNICAS'!R292*'ESTIMATIVA DE HORAS TÉCNICAS'!F$954</f>
        <v>1956.4398952964293</v>
      </c>
      <c r="E289" s="411">
        <f>'CALCULO DO FATO K'!D$10</f>
        <v>2.3175723620309046</v>
      </c>
      <c r="F289" s="714"/>
      <c r="G289" s="714"/>
      <c r="H289" s="411">
        <f t="shared" si="7"/>
        <v>4534.1910293136416</v>
      </c>
      <c r="I289" s="416">
        <f>SUM(H284:H289)</f>
        <v>22670.955146568209</v>
      </c>
      <c r="J289" s="767"/>
    </row>
    <row r="290" spans="1:10" s="532" customFormat="1" ht="15.75">
      <c r="A290" s="433"/>
      <c r="B290" s="768"/>
      <c r="C290" s="409"/>
      <c r="D290" s="787"/>
      <c r="E290" s="411"/>
      <c r="F290" s="714"/>
      <c r="G290" s="714"/>
      <c r="H290" s="411"/>
      <c r="I290" s="416"/>
      <c r="J290" s="767"/>
    </row>
    <row r="291" spans="1:10" s="284" customFormat="1" ht="15.75">
      <c r="A291" s="426"/>
      <c r="B291" s="768"/>
      <c r="C291" s="409"/>
      <c r="D291" s="787"/>
      <c r="E291" s="714"/>
      <c r="F291" s="714"/>
      <c r="G291" s="714"/>
      <c r="H291" s="714"/>
      <c r="I291" s="416"/>
      <c r="J291" s="767"/>
    </row>
    <row r="292" spans="1:10" ht="15.75">
      <c r="A292" s="391" t="s">
        <v>339</v>
      </c>
      <c r="B292" s="427" t="s">
        <v>118</v>
      </c>
      <c r="C292" s="474"/>
      <c r="D292" s="480"/>
      <c r="E292" s="475"/>
      <c r="F292" s="475"/>
      <c r="G292" s="475"/>
      <c r="H292" s="475"/>
      <c r="I292" s="476"/>
      <c r="J292" s="767"/>
    </row>
    <row r="293" spans="1:10" ht="15.75">
      <c r="A293" s="433" t="s">
        <v>340</v>
      </c>
      <c r="B293" s="428" t="s">
        <v>326</v>
      </c>
      <c r="C293" s="409"/>
      <c r="D293" s="787">
        <f>'ESTIMATIVA DE HORAS TÉCNICAS'!F296*'ESTIMATIVA DE HORAS TÉCNICAS'!F$943+'ESTIMATIVA DE HORAS TÉCNICAS'!G296*'ESTIMATIVA DE HORAS TÉCNICAS'!F$942+'ESTIMATIVA DE HORAS TÉCNICAS'!H296*'ESTIMATIVA DE HORAS TÉCNICAS'!F$941+'ESTIMATIVA DE HORAS TÉCNICAS'!I296*'ESTIMATIVA DE HORAS TÉCNICAS'!F$945+'ESTIMATIVA DE HORAS TÉCNICAS'!J296*'ESTIMATIVA DE HORAS TÉCNICAS'!F$946+'ESTIMATIVA DE HORAS TÉCNICAS'!K296*'ESTIMATIVA DE HORAS TÉCNICAS'!$F$944+'ESTIMATIVA DE HORAS TÉCNICAS'!L296*'ESTIMATIVA DE HORAS TÉCNICAS'!F$951+'ESTIMATIVA DE HORAS TÉCNICAS'!M296*'ESTIMATIVA DE HORAS TÉCNICAS'!F$950+'ESTIMATIVA DE HORAS TÉCNICAS'!N296*'ESTIMATIVA DE HORAS TÉCNICAS'!F$949+'ESTIMATIVA DE HORAS TÉCNICAS'!O296*'ESTIMATIVA DE HORAS TÉCNICAS'!F$948+'ESTIMATIVA DE HORAS TÉCNICAS'!P296*'ESTIMATIVA DE HORAS TÉCNICAS'!$F$947+'ESTIMATIVA DE HORAS TÉCNICAS'!Q296*'ESTIMATIVA DE HORAS TÉCNICAS'!F$953+'ESTIMATIVA DE HORAS TÉCNICAS'!R296*'ESTIMATIVA DE HORAS TÉCNICAS'!F$954</f>
        <v>1850.8653323991684</v>
      </c>
      <c r="E293" s="411">
        <f>'CALCULO DO FATO K'!D$10</f>
        <v>2.3175723620309046</v>
      </c>
      <c r="F293" s="714"/>
      <c r="G293" s="714"/>
      <c r="H293" s="411">
        <f t="shared" ref="H293:H299" si="8">D293*E293</f>
        <v>4289.5143402094563</v>
      </c>
      <c r="I293" s="416"/>
      <c r="J293" s="767"/>
    </row>
    <row r="294" spans="1:10" ht="15.75">
      <c r="A294" s="433" t="s">
        <v>341</v>
      </c>
      <c r="B294" s="428" t="s">
        <v>135</v>
      </c>
      <c r="C294" s="409"/>
      <c r="D294" s="787">
        <f>'ESTIMATIVA DE HORAS TÉCNICAS'!F297*'ESTIMATIVA DE HORAS TÉCNICAS'!F$943+'ESTIMATIVA DE HORAS TÉCNICAS'!G297*'ESTIMATIVA DE HORAS TÉCNICAS'!F$942+'ESTIMATIVA DE HORAS TÉCNICAS'!H297*'ESTIMATIVA DE HORAS TÉCNICAS'!F$941+'ESTIMATIVA DE HORAS TÉCNICAS'!I297*'ESTIMATIVA DE HORAS TÉCNICAS'!F$945+'ESTIMATIVA DE HORAS TÉCNICAS'!J297*'ESTIMATIVA DE HORAS TÉCNICAS'!F$946+'ESTIMATIVA DE HORAS TÉCNICAS'!K297*'ESTIMATIVA DE HORAS TÉCNICAS'!$F$944+'ESTIMATIVA DE HORAS TÉCNICAS'!L297*'ESTIMATIVA DE HORAS TÉCNICAS'!F$951+'ESTIMATIVA DE HORAS TÉCNICAS'!M297*'ESTIMATIVA DE HORAS TÉCNICAS'!F$950+'ESTIMATIVA DE HORAS TÉCNICAS'!N297*'ESTIMATIVA DE HORAS TÉCNICAS'!F$949+'ESTIMATIVA DE HORAS TÉCNICAS'!O297*'ESTIMATIVA DE HORAS TÉCNICAS'!F$948+'ESTIMATIVA DE HORAS TÉCNICAS'!P297*'ESTIMATIVA DE HORAS TÉCNICAS'!$F$947+'ESTIMATIVA DE HORAS TÉCNICAS'!Q297*'ESTIMATIVA DE HORAS TÉCNICAS'!F$953+'ESTIMATIVA DE HORAS TÉCNICAS'!R297*'ESTIMATIVA DE HORAS TÉCNICAS'!F$954</f>
        <v>2467.8204431988911</v>
      </c>
      <c r="E294" s="411">
        <f>'CALCULO DO FATO K'!D$10</f>
        <v>2.3175723620309046</v>
      </c>
      <c r="F294" s="714"/>
      <c r="G294" s="714"/>
      <c r="H294" s="411">
        <f t="shared" si="8"/>
        <v>5719.3524536126079</v>
      </c>
      <c r="I294" s="416"/>
      <c r="J294" s="767"/>
    </row>
    <row r="295" spans="1:10" ht="15.75">
      <c r="A295" s="433" t="s">
        <v>342</v>
      </c>
      <c r="B295" s="428" t="s">
        <v>112</v>
      </c>
      <c r="C295" s="409"/>
      <c r="D295" s="787">
        <f>'ESTIMATIVA DE HORAS TÉCNICAS'!F298*'ESTIMATIVA DE HORAS TÉCNICAS'!F$943+'ESTIMATIVA DE HORAS TÉCNICAS'!G298*'ESTIMATIVA DE HORAS TÉCNICAS'!F$942+'ESTIMATIVA DE HORAS TÉCNICAS'!H298*'ESTIMATIVA DE HORAS TÉCNICAS'!F$941+'ESTIMATIVA DE HORAS TÉCNICAS'!I298*'ESTIMATIVA DE HORAS TÉCNICAS'!F$945+'ESTIMATIVA DE HORAS TÉCNICAS'!J298*'ESTIMATIVA DE HORAS TÉCNICAS'!F$946+'ESTIMATIVA DE HORAS TÉCNICAS'!K298*'ESTIMATIVA DE HORAS TÉCNICAS'!$F$944+'ESTIMATIVA DE HORAS TÉCNICAS'!L298*'ESTIMATIVA DE HORAS TÉCNICAS'!F$951+'ESTIMATIVA DE HORAS TÉCNICAS'!M298*'ESTIMATIVA DE HORAS TÉCNICAS'!F$950+'ESTIMATIVA DE HORAS TÉCNICAS'!N298*'ESTIMATIVA DE HORAS TÉCNICAS'!F$949+'ESTIMATIVA DE HORAS TÉCNICAS'!O298*'ESTIMATIVA DE HORAS TÉCNICAS'!F$948+'ESTIMATIVA DE HORAS TÉCNICAS'!P298*'ESTIMATIVA DE HORAS TÉCNICAS'!$F$947+'ESTIMATIVA DE HORAS TÉCNICAS'!Q298*'ESTIMATIVA DE HORAS TÉCNICAS'!F$953+'ESTIMATIVA DE HORAS TÉCNICAS'!R298*'ESTIMATIVA DE HORAS TÉCNICAS'!F$954</f>
        <v>1233.9102215994455</v>
      </c>
      <c r="E295" s="411">
        <f>'CALCULO DO FATO K'!D$10</f>
        <v>2.3175723620309046</v>
      </c>
      <c r="F295" s="714"/>
      <c r="G295" s="714"/>
      <c r="H295" s="411">
        <f t="shared" si="8"/>
        <v>2859.6762268063039</v>
      </c>
      <c r="I295" s="416"/>
      <c r="J295" s="767"/>
    </row>
    <row r="296" spans="1:10" ht="15.75">
      <c r="A296" s="433" t="s">
        <v>343</v>
      </c>
      <c r="B296" s="428" t="s">
        <v>139</v>
      </c>
      <c r="C296" s="409"/>
      <c r="D296" s="787">
        <f>'ESTIMATIVA DE HORAS TÉCNICAS'!F299*'ESTIMATIVA DE HORAS TÉCNICAS'!F$943+'ESTIMATIVA DE HORAS TÉCNICAS'!G299*'ESTIMATIVA DE HORAS TÉCNICAS'!F$942+'ESTIMATIVA DE HORAS TÉCNICAS'!H299*'ESTIMATIVA DE HORAS TÉCNICAS'!F$941+'ESTIMATIVA DE HORAS TÉCNICAS'!I299*'ESTIMATIVA DE HORAS TÉCNICAS'!F$945+'ESTIMATIVA DE HORAS TÉCNICAS'!J299*'ESTIMATIVA DE HORAS TÉCNICAS'!F$946+'ESTIMATIVA DE HORAS TÉCNICAS'!K299*'ESTIMATIVA DE HORAS TÉCNICAS'!$F$944+'ESTIMATIVA DE HORAS TÉCNICAS'!L299*'ESTIMATIVA DE HORAS TÉCNICAS'!F$951+'ESTIMATIVA DE HORAS TÉCNICAS'!M299*'ESTIMATIVA DE HORAS TÉCNICAS'!F$950+'ESTIMATIVA DE HORAS TÉCNICAS'!N299*'ESTIMATIVA DE HORAS TÉCNICAS'!F$949+'ESTIMATIVA DE HORAS TÉCNICAS'!O299*'ESTIMATIVA DE HORAS TÉCNICAS'!F$948+'ESTIMATIVA DE HORAS TÉCNICAS'!P299*'ESTIMATIVA DE HORAS TÉCNICAS'!$F$947+'ESTIMATIVA DE HORAS TÉCNICAS'!Q299*'ESTIMATIVA DE HORAS TÉCNICAS'!F$953+'ESTIMATIVA DE HORAS TÉCNICAS'!R299*'ESTIMATIVA DE HORAS TÉCNICAS'!F$954</f>
        <v>1850.8653323991684</v>
      </c>
      <c r="E296" s="411">
        <f>'CALCULO DO FATO K'!D$10</f>
        <v>2.3175723620309046</v>
      </c>
      <c r="F296" s="714"/>
      <c r="G296" s="714"/>
      <c r="H296" s="411">
        <f t="shared" si="8"/>
        <v>4289.5143402094563</v>
      </c>
      <c r="I296" s="416"/>
      <c r="J296" s="767"/>
    </row>
    <row r="297" spans="1:10" ht="15.75">
      <c r="A297" s="433" t="s">
        <v>344</v>
      </c>
      <c r="B297" s="428" t="s">
        <v>105</v>
      </c>
      <c r="C297" s="409"/>
      <c r="D297" s="787">
        <f>'ESTIMATIVA DE HORAS TÉCNICAS'!F300*'ESTIMATIVA DE HORAS TÉCNICAS'!F$943+'ESTIMATIVA DE HORAS TÉCNICAS'!G300*'ESTIMATIVA DE HORAS TÉCNICAS'!F$942+'ESTIMATIVA DE HORAS TÉCNICAS'!H300*'ESTIMATIVA DE HORAS TÉCNICAS'!F$941+'ESTIMATIVA DE HORAS TÉCNICAS'!I300*'ESTIMATIVA DE HORAS TÉCNICAS'!F$945+'ESTIMATIVA DE HORAS TÉCNICAS'!J300*'ESTIMATIVA DE HORAS TÉCNICAS'!F$946+'ESTIMATIVA DE HORAS TÉCNICAS'!K300*'ESTIMATIVA DE HORAS TÉCNICAS'!$F$944+'ESTIMATIVA DE HORAS TÉCNICAS'!L300*'ESTIMATIVA DE HORAS TÉCNICAS'!F$951+'ESTIMATIVA DE HORAS TÉCNICAS'!M300*'ESTIMATIVA DE HORAS TÉCNICAS'!F$950+'ESTIMATIVA DE HORAS TÉCNICAS'!N300*'ESTIMATIVA DE HORAS TÉCNICAS'!F$949+'ESTIMATIVA DE HORAS TÉCNICAS'!O300*'ESTIMATIVA DE HORAS TÉCNICAS'!F$948+'ESTIMATIVA DE HORAS TÉCNICAS'!P300*'ESTIMATIVA DE HORAS TÉCNICAS'!$F$947+'ESTIMATIVA DE HORAS TÉCNICAS'!Q300*'ESTIMATIVA DE HORAS TÉCNICAS'!F$953+'ESTIMATIVA DE HORAS TÉCNICAS'!R300*'ESTIMATIVA DE HORAS TÉCNICAS'!F$954</f>
        <v>1233.9102215994455</v>
      </c>
      <c r="E297" s="411">
        <f>'CALCULO DO FATO K'!D$10</f>
        <v>2.3175723620309046</v>
      </c>
      <c r="F297" s="714"/>
      <c r="G297" s="714"/>
      <c r="H297" s="411">
        <f t="shared" si="8"/>
        <v>2859.6762268063039</v>
      </c>
      <c r="I297" s="416"/>
      <c r="J297" s="767"/>
    </row>
    <row r="298" spans="1:10" ht="15.75">
      <c r="A298" s="433" t="s">
        <v>345</v>
      </c>
      <c r="B298" s="428" t="s">
        <v>142</v>
      </c>
      <c r="C298" s="409"/>
      <c r="D298" s="787">
        <f>'ESTIMATIVA DE HORAS TÉCNICAS'!F301*'ESTIMATIVA DE HORAS TÉCNICAS'!F$943+'ESTIMATIVA DE HORAS TÉCNICAS'!G301*'ESTIMATIVA DE HORAS TÉCNICAS'!F$942+'ESTIMATIVA DE HORAS TÉCNICAS'!H301*'ESTIMATIVA DE HORAS TÉCNICAS'!F$941+'ESTIMATIVA DE HORAS TÉCNICAS'!I301*'ESTIMATIVA DE HORAS TÉCNICAS'!F$945+'ESTIMATIVA DE HORAS TÉCNICAS'!J301*'ESTIMATIVA DE HORAS TÉCNICAS'!F$946+'ESTIMATIVA DE HORAS TÉCNICAS'!K301*'ESTIMATIVA DE HORAS TÉCNICAS'!$F$944+'ESTIMATIVA DE HORAS TÉCNICAS'!L301*'ESTIMATIVA DE HORAS TÉCNICAS'!F$951+'ESTIMATIVA DE HORAS TÉCNICAS'!M301*'ESTIMATIVA DE HORAS TÉCNICAS'!F$950+'ESTIMATIVA DE HORAS TÉCNICAS'!N301*'ESTIMATIVA DE HORAS TÉCNICAS'!F$949+'ESTIMATIVA DE HORAS TÉCNICAS'!O301*'ESTIMATIVA DE HORAS TÉCNICAS'!F$948+'ESTIMATIVA DE HORAS TÉCNICAS'!P301*'ESTIMATIVA DE HORAS TÉCNICAS'!$F$947+'ESTIMATIVA DE HORAS TÉCNICAS'!Q301*'ESTIMATIVA DE HORAS TÉCNICAS'!F$953+'ESTIMATIVA DE HORAS TÉCNICAS'!R301*'ESTIMATIVA DE HORAS TÉCNICAS'!F$954</f>
        <v>1850.8653323991684</v>
      </c>
      <c r="E298" s="411">
        <f>'CALCULO DO FATO K'!D$10</f>
        <v>2.3175723620309046</v>
      </c>
      <c r="F298" s="714"/>
      <c r="G298" s="714"/>
      <c r="H298" s="411">
        <f t="shared" si="8"/>
        <v>4289.5143402094563</v>
      </c>
      <c r="I298" s="416"/>
      <c r="J298" s="767"/>
    </row>
    <row r="299" spans="1:10" ht="15.75">
      <c r="A299" s="426" t="s">
        <v>346</v>
      </c>
      <c r="B299" s="428" t="s">
        <v>150</v>
      </c>
      <c r="C299" s="409"/>
      <c r="D299" s="787">
        <f>'ESTIMATIVA DE HORAS TÉCNICAS'!F302*'ESTIMATIVA DE HORAS TÉCNICAS'!F$943+'ESTIMATIVA DE HORAS TÉCNICAS'!G302*'ESTIMATIVA DE HORAS TÉCNICAS'!F$942+'ESTIMATIVA DE HORAS TÉCNICAS'!H302*'ESTIMATIVA DE HORAS TÉCNICAS'!F$941+'ESTIMATIVA DE HORAS TÉCNICAS'!I302*'ESTIMATIVA DE HORAS TÉCNICAS'!F$945+'ESTIMATIVA DE HORAS TÉCNICAS'!J302*'ESTIMATIVA DE HORAS TÉCNICAS'!F$946+'ESTIMATIVA DE HORAS TÉCNICAS'!K302*'ESTIMATIVA DE HORAS TÉCNICAS'!$F$944+'ESTIMATIVA DE HORAS TÉCNICAS'!L302*'ESTIMATIVA DE HORAS TÉCNICAS'!F$951+'ESTIMATIVA DE HORAS TÉCNICAS'!M302*'ESTIMATIVA DE HORAS TÉCNICAS'!F$950+'ESTIMATIVA DE HORAS TÉCNICAS'!N302*'ESTIMATIVA DE HORAS TÉCNICAS'!F$949+'ESTIMATIVA DE HORAS TÉCNICAS'!O302*'ESTIMATIVA DE HORAS TÉCNICAS'!F$948+'ESTIMATIVA DE HORAS TÉCNICAS'!P302*'ESTIMATIVA DE HORAS TÉCNICAS'!$F$947+'ESTIMATIVA DE HORAS TÉCNICAS'!Q302*'ESTIMATIVA DE HORAS TÉCNICAS'!F$953+'ESTIMATIVA DE HORAS TÉCNICAS'!R302*'ESTIMATIVA DE HORAS TÉCNICAS'!F$954</f>
        <v>1850.8653323991684</v>
      </c>
      <c r="E299" s="411">
        <f>'CALCULO DO FATO K'!D$10</f>
        <v>2.3175723620309046</v>
      </c>
      <c r="F299" s="714"/>
      <c r="G299" s="714"/>
      <c r="H299" s="411">
        <f t="shared" si="8"/>
        <v>4289.5143402094563</v>
      </c>
      <c r="I299" s="416">
        <f>SUM(H293:H299)</f>
        <v>28596.762268063037</v>
      </c>
      <c r="J299" s="767"/>
    </row>
    <row r="300" spans="1:10" s="532" customFormat="1" ht="15.75">
      <c r="A300" s="426"/>
      <c r="B300" s="428"/>
      <c r="C300" s="409"/>
      <c r="D300" s="787"/>
      <c r="E300" s="411"/>
      <c r="F300" s="714"/>
      <c r="G300" s="714"/>
      <c r="H300" s="411"/>
      <c r="I300" s="416"/>
      <c r="J300" s="767"/>
    </row>
    <row r="301" spans="1:10" ht="15.75">
      <c r="A301" s="426"/>
      <c r="B301" s="768"/>
      <c r="C301" s="409"/>
      <c r="D301" s="787"/>
      <c r="E301" s="714"/>
      <c r="F301" s="714"/>
      <c r="G301" s="714"/>
      <c r="H301" s="714"/>
      <c r="I301" s="416"/>
      <c r="J301" s="767"/>
    </row>
    <row r="302" spans="1:10" ht="15.75">
      <c r="A302" s="391" t="s">
        <v>347</v>
      </c>
      <c r="B302" s="427" t="s">
        <v>122</v>
      </c>
      <c r="C302" s="474"/>
      <c r="D302" s="480"/>
      <c r="E302" s="475"/>
      <c r="F302" s="475"/>
      <c r="G302" s="475"/>
      <c r="H302" s="475"/>
      <c r="I302" s="476"/>
      <c r="J302" s="767"/>
    </row>
    <row r="303" spans="1:10" ht="15.75">
      <c r="A303" s="433" t="s">
        <v>348</v>
      </c>
      <c r="B303" s="428" t="s">
        <v>326</v>
      </c>
      <c r="C303" s="224"/>
      <c r="D303" s="787">
        <f>'ESTIMATIVA DE HORAS TÉCNICAS'!F306*'ESTIMATIVA DE HORAS TÉCNICAS'!F$943+'ESTIMATIVA DE HORAS TÉCNICAS'!G306*'ESTIMATIVA DE HORAS TÉCNICAS'!F$942+'ESTIMATIVA DE HORAS TÉCNICAS'!H306*'ESTIMATIVA DE HORAS TÉCNICAS'!F$941+'ESTIMATIVA DE HORAS TÉCNICAS'!I306*'ESTIMATIVA DE HORAS TÉCNICAS'!F$945+'ESTIMATIVA DE HORAS TÉCNICAS'!J306*'ESTIMATIVA DE HORAS TÉCNICAS'!F$946+'ESTIMATIVA DE HORAS TÉCNICAS'!K306*'ESTIMATIVA DE HORAS TÉCNICAS'!$F$944+'ESTIMATIVA DE HORAS TÉCNICAS'!L306*'ESTIMATIVA DE HORAS TÉCNICAS'!F$951+'ESTIMATIVA DE HORAS TÉCNICAS'!M306*'ESTIMATIVA DE HORAS TÉCNICAS'!F$950+'ESTIMATIVA DE HORAS TÉCNICAS'!N306*'ESTIMATIVA DE HORAS TÉCNICAS'!F$949+'ESTIMATIVA DE HORAS TÉCNICAS'!O306*'ESTIMATIVA DE HORAS TÉCNICAS'!F$948+'ESTIMATIVA DE HORAS TÉCNICAS'!P306*'ESTIMATIVA DE HORAS TÉCNICAS'!$F$947+'ESTIMATIVA DE HORAS TÉCNICAS'!Q306*'ESTIMATIVA DE HORAS TÉCNICAS'!F$953+'ESTIMATIVA DE HORAS TÉCNICAS'!R306*'ESTIMATIVA DE HORAS TÉCNICAS'!F$954</f>
        <v>997.82630590546648</v>
      </c>
      <c r="E303" s="411">
        <f>'CALCULO DO FATO K'!D$10</f>
        <v>2.3175723620309046</v>
      </c>
      <c r="F303" s="714"/>
      <c r="G303" s="714"/>
      <c r="H303" s="411">
        <f>D303*E303</f>
        <v>2312.534668673904</v>
      </c>
      <c r="I303" s="416"/>
      <c r="J303" s="767"/>
    </row>
    <row r="304" spans="1:10" ht="15.75">
      <c r="A304" s="433" t="s">
        <v>349</v>
      </c>
      <c r="B304" s="428" t="s">
        <v>135</v>
      </c>
      <c r="C304" s="409"/>
      <c r="D304" s="787">
        <f>'ESTIMATIVA DE HORAS TÉCNICAS'!F307*'ESTIMATIVA DE HORAS TÉCNICAS'!F$943+'ESTIMATIVA DE HORAS TÉCNICAS'!G307*'ESTIMATIVA DE HORAS TÉCNICAS'!F$942+'ESTIMATIVA DE HORAS TÉCNICAS'!H307*'ESTIMATIVA DE HORAS TÉCNICAS'!F$941+'ESTIMATIVA DE HORAS TÉCNICAS'!I307*'ESTIMATIVA DE HORAS TÉCNICAS'!F$945+'ESTIMATIVA DE HORAS TÉCNICAS'!J307*'ESTIMATIVA DE HORAS TÉCNICAS'!F$946+'ESTIMATIVA DE HORAS TÉCNICAS'!K307*'ESTIMATIVA DE HORAS TÉCNICAS'!$F$944+'ESTIMATIVA DE HORAS TÉCNICAS'!L307*'ESTIMATIVA DE HORAS TÉCNICAS'!F$951+'ESTIMATIVA DE HORAS TÉCNICAS'!M307*'ESTIMATIVA DE HORAS TÉCNICAS'!F$950+'ESTIMATIVA DE HORAS TÉCNICAS'!N307*'ESTIMATIVA DE HORAS TÉCNICAS'!F$949+'ESTIMATIVA DE HORAS TÉCNICAS'!O307*'ESTIMATIVA DE HORAS TÉCNICAS'!F$948+'ESTIMATIVA DE HORAS TÉCNICAS'!P307*'ESTIMATIVA DE HORAS TÉCNICAS'!$F$947+'ESTIMATIVA DE HORAS TÉCNICAS'!Q307*'ESTIMATIVA DE HORAS TÉCNICAS'!F$953+'ESTIMATIVA DE HORAS TÉCNICAS'!R307*'ESTIMATIVA DE HORAS TÉCNICAS'!F$954</f>
        <v>1995.652611810933</v>
      </c>
      <c r="E304" s="411">
        <f>'CALCULO DO FATO K'!D$10</f>
        <v>2.3175723620309046</v>
      </c>
      <c r="F304" s="714"/>
      <c r="G304" s="714"/>
      <c r="H304" s="411">
        <f>D304*E304</f>
        <v>4625.069337347808</v>
      </c>
      <c r="I304" s="416"/>
      <c r="J304" s="767"/>
    </row>
    <row r="305" spans="1:10" ht="15.75">
      <c r="A305" s="433" t="s">
        <v>350</v>
      </c>
      <c r="B305" s="428" t="s">
        <v>105</v>
      </c>
      <c r="C305" s="409"/>
      <c r="D305" s="787">
        <f>'ESTIMATIVA DE HORAS TÉCNICAS'!F308*'ESTIMATIVA DE HORAS TÉCNICAS'!F$943+'ESTIMATIVA DE HORAS TÉCNICAS'!G308*'ESTIMATIVA DE HORAS TÉCNICAS'!F$942+'ESTIMATIVA DE HORAS TÉCNICAS'!H308*'ESTIMATIVA DE HORAS TÉCNICAS'!F$941+'ESTIMATIVA DE HORAS TÉCNICAS'!I308*'ESTIMATIVA DE HORAS TÉCNICAS'!F$945+'ESTIMATIVA DE HORAS TÉCNICAS'!J308*'ESTIMATIVA DE HORAS TÉCNICAS'!F$946+'ESTIMATIVA DE HORAS TÉCNICAS'!K308*'ESTIMATIVA DE HORAS TÉCNICAS'!$F$944+'ESTIMATIVA DE HORAS TÉCNICAS'!L308*'ESTIMATIVA DE HORAS TÉCNICAS'!F$951+'ESTIMATIVA DE HORAS TÉCNICAS'!M308*'ESTIMATIVA DE HORAS TÉCNICAS'!F$950+'ESTIMATIVA DE HORAS TÉCNICAS'!N308*'ESTIMATIVA DE HORAS TÉCNICAS'!F$949+'ESTIMATIVA DE HORAS TÉCNICAS'!O308*'ESTIMATIVA DE HORAS TÉCNICAS'!F$948+'ESTIMATIVA DE HORAS TÉCNICAS'!P308*'ESTIMATIVA DE HORAS TÉCNICAS'!$F$947+'ESTIMATIVA DE HORAS TÉCNICAS'!Q308*'ESTIMATIVA DE HORAS TÉCNICAS'!F$953+'ESTIMATIVA DE HORAS TÉCNICAS'!R308*'ESTIMATIVA DE HORAS TÉCNICAS'!F$954</f>
        <v>997.82630590546648</v>
      </c>
      <c r="E305" s="411">
        <f>'CALCULO DO FATO K'!D$10</f>
        <v>2.3175723620309046</v>
      </c>
      <c r="F305" s="714"/>
      <c r="G305" s="714"/>
      <c r="H305" s="411">
        <f>D305*E305</f>
        <v>2312.534668673904</v>
      </c>
      <c r="I305" s="416"/>
      <c r="J305" s="767"/>
    </row>
    <row r="306" spans="1:10" ht="15.75">
      <c r="A306" s="433" t="s">
        <v>351</v>
      </c>
      <c r="B306" s="768" t="s">
        <v>142</v>
      </c>
      <c r="C306" s="409"/>
      <c r="D306" s="787">
        <f>'ESTIMATIVA DE HORAS TÉCNICAS'!F309*'ESTIMATIVA DE HORAS TÉCNICAS'!F$943+'ESTIMATIVA DE HORAS TÉCNICAS'!G309*'ESTIMATIVA DE HORAS TÉCNICAS'!F$942+'ESTIMATIVA DE HORAS TÉCNICAS'!H309*'ESTIMATIVA DE HORAS TÉCNICAS'!F$941+'ESTIMATIVA DE HORAS TÉCNICAS'!I309*'ESTIMATIVA DE HORAS TÉCNICAS'!F$945+'ESTIMATIVA DE HORAS TÉCNICAS'!J309*'ESTIMATIVA DE HORAS TÉCNICAS'!F$946+'ESTIMATIVA DE HORAS TÉCNICAS'!K309*'ESTIMATIVA DE HORAS TÉCNICAS'!$F$944+'ESTIMATIVA DE HORAS TÉCNICAS'!L309*'ESTIMATIVA DE HORAS TÉCNICAS'!F$951+'ESTIMATIVA DE HORAS TÉCNICAS'!M309*'ESTIMATIVA DE HORAS TÉCNICAS'!F$950+'ESTIMATIVA DE HORAS TÉCNICAS'!N309*'ESTIMATIVA DE HORAS TÉCNICAS'!F$949+'ESTIMATIVA DE HORAS TÉCNICAS'!O309*'ESTIMATIVA DE HORAS TÉCNICAS'!F$948+'ESTIMATIVA DE HORAS TÉCNICAS'!P309*'ESTIMATIVA DE HORAS TÉCNICAS'!$F$947+'ESTIMATIVA DE HORAS TÉCNICAS'!Q309*'ESTIMATIVA DE HORAS TÉCNICAS'!F$953+'ESTIMATIVA DE HORAS TÉCNICAS'!R309*'ESTIMATIVA DE HORAS TÉCNICAS'!F$954</f>
        <v>3492.392070669132</v>
      </c>
      <c r="E306" s="411">
        <f>'CALCULO DO FATO K'!D$10</f>
        <v>2.3175723620309046</v>
      </c>
      <c r="F306" s="714"/>
      <c r="G306" s="714"/>
      <c r="H306" s="411">
        <f>D306*E306</f>
        <v>8093.8713403586617</v>
      </c>
      <c r="I306" s="416"/>
      <c r="J306" s="767"/>
    </row>
    <row r="307" spans="1:10" ht="15.75">
      <c r="A307" s="433" t="s">
        <v>352</v>
      </c>
      <c r="B307" s="768" t="s">
        <v>150</v>
      </c>
      <c r="C307" s="409"/>
      <c r="D307" s="787">
        <f>'ESTIMATIVA DE HORAS TÉCNICAS'!F310*'ESTIMATIVA DE HORAS TÉCNICAS'!F$943+'ESTIMATIVA DE HORAS TÉCNICAS'!G310*'ESTIMATIVA DE HORAS TÉCNICAS'!F$942+'ESTIMATIVA DE HORAS TÉCNICAS'!H310*'ESTIMATIVA DE HORAS TÉCNICAS'!F$941+'ESTIMATIVA DE HORAS TÉCNICAS'!I310*'ESTIMATIVA DE HORAS TÉCNICAS'!F$945+'ESTIMATIVA DE HORAS TÉCNICAS'!J310*'ESTIMATIVA DE HORAS TÉCNICAS'!F$946+'ESTIMATIVA DE HORAS TÉCNICAS'!K310*'ESTIMATIVA DE HORAS TÉCNICAS'!$F$944+'ESTIMATIVA DE HORAS TÉCNICAS'!L310*'ESTIMATIVA DE HORAS TÉCNICAS'!F$951+'ESTIMATIVA DE HORAS TÉCNICAS'!M310*'ESTIMATIVA DE HORAS TÉCNICAS'!F$950+'ESTIMATIVA DE HORAS TÉCNICAS'!N310*'ESTIMATIVA DE HORAS TÉCNICAS'!F$949+'ESTIMATIVA DE HORAS TÉCNICAS'!O310*'ESTIMATIVA DE HORAS TÉCNICAS'!F$948+'ESTIMATIVA DE HORAS TÉCNICAS'!P310*'ESTIMATIVA DE HORAS TÉCNICAS'!$F$947+'ESTIMATIVA DE HORAS TÉCNICAS'!Q310*'ESTIMATIVA DE HORAS TÉCNICAS'!F$953+'ESTIMATIVA DE HORAS TÉCNICAS'!R310*'ESTIMATIVA DE HORAS TÉCNICAS'!F$954</f>
        <v>2494.5657647636663</v>
      </c>
      <c r="E307" s="411">
        <f>'CALCULO DO FATO K'!D$10</f>
        <v>2.3175723620309046</v>
      </c>
      <c r="F307" s="714"/>
      <c r="G307" s="714"/>
      <c r="H307" s="411">
        <f>D307*E307</f>
        <v>5781.3366716847595</v>
      </c>
      <c r="I307" s="416">
        <f>SUM(H303:H307)</f>
        <v>23125.346686739038</v>
      </c>
      <c r="J307" s="767"/>
    </row>
    <row r="308" spans="1:10" s="532" customFormat="1" ht="15.75">
      <c r="A308" s="433"/>
      <c r="B308" s="768"/>
      <c r="C308" s="409"/>
      <c r="D308" s="787"/>
      <c r="E308" s="411"/>
      <c r="F308" s="714"/>
      <c r="G308" s="714"/>
      <c r="H308" s="411"/>
      <c r="I308" s="416"/>
      <c r="J308" s="767"/>
    </row>
    <row r="309" spans="1:10" s="284" customFormat="1" ht="15.75">
      <c r="A309" s="433"/>
      <c r="B309" s="768"/>
      <c r="C309" s="409"/>
      <c r="D309" s="787"/>
      <c r="E309" s="714"/>
      <c r="F309" s="714"/>
      <c r="G309" s="714"/>
      <c r="H309" s="714"/>
      <c r="I309" s="416"/>
      <c r="J309" s="767"/>
    </row>
    <row r="310" spans="1:10" ht="15.75">
      <c r="A310" s="391" t="s">
        <v>353</v>
      </c>
      <c r="B310" s="427" t="s">
        <v>354</v>
      </c>
      <c r="C310" s="481"/>
      <c r="D310" s="480"/>
      <c r="E310" s="475"/>
      <c r="F310" s="475"/>
      <c r="G310" s="475"/>
      <c r="H310" s="475"/>
      <c r="I310" s="476"/>
      <c r="J310" s="767"/>
    </row>
    <row r="311" spans="1:10" ht="15.75">
      <c r="A311" s="433" t="s">
        <v>355</v>
      </c>
      <c r="B311" s="428" t="s">
        <v>326</v>
      </c>
      <c r="C311" s="224"/>
      <c r="D311" s="787">
        <f>'ESTIMATIVA DE HORAS TÉCNICAS'!F314*'ESTIMATIVA DE HORAS TÉCNICAS'!F$943+'ESTIMATIVA DE HORAS TÉCNICAS'!G314*'ESTIMATIVA DE HORAS TÉCNICAS'!F$942+'ESTIMATIVA DE HORAS TÉCNICAS'!H314*'ESTIMATIVA DE HORAS TÉCNICAS'!F$941+'ESTIMATIVA DE HORAS TÉCNICAS'!I314*'ESTIMATIVA DE HORAS TÉCNICAS'!F$945+'ESTIMATIVA DE HORAS TÉCNICAS'!J314*'ESTIMATIVA DE HORAS TÉCNICAS'!F$946+'ESTIMATIVA DE HORAS TÉCNICAS'!K314*'ESTIMATIVA DE HORAS TÉCNICAS'!$F$944+'ESTIMATIVA DE HORAS TÉCNICAS'!L314*'ESTIMATIVA DE HORAS TÉCNICAS'!F$951+'ESTIMATIVA DE HORAS TÉCNICAS'!M314*'ESTIMATIVA DE HORAS TÉCNICAS'!F$950+'ESTIMATIVA DE HORAS TÉCNICAS'!N314*'ESTIMATIVA DE HORAS TÉCNICAS'!F$949+'ESTIMATIVA DE HORAS TÉCNICAS'!O314*'ESTIMATIVA DE HORAS TÉCNICAS'!F$948+'ESTIMATIVA DE HORAS TÉCNICAS'!P314*'ESTIMATIVA DE HORAS TÉCNICAS'!$F$947+'ESTIMATIVA DE HORAS TÉCNICAS'!Q314*'ESTIMATIVA DE HORAS TÉCNICAS'!F$953+'ESTIMATIVA DE HORAS TÉCNICAS'!R314*'ESTIMATIVA DE HORAS TÉCNICAS'!F$954</f>
        <v>2372.9716364266728</v>
      </c>
      <c r="E311" s="411">
        <f>'CALCULO DO FATO K'!D$10</f>
        <v>2.3175723620309046</v>
      </c>
      <c r="F311" s="714"/>
      <c r="G311" s="714"/>
      <c r="H311" s="411">
        <f>D311*E311</f>
        <v>5499.533480465705</v>
      </c>
      <c r="I311" s="416"/>
      <c r="J311" s="767"/>
    </row>
    <row r="312" spans="1:10" ht="15.75">
      <c r="A312" s="433" t="s">
        <v>356</v>
      </c>
      <c r="B312" s="428" t="s">
        <v>135</v>
      </c>
      <c r="C312" s="409"/>
      <c r="D312" s="787">
        <f>'ESTIMATIVA DE HORAS TÉCNICAS'!F315*'ESTIMATIVA DE HORAS TÉCNICAS'!F$943+'ESTIMATIVA DE HORAS TÉCNICAS'!G315*'ESTIMATIVA DE HORAS TÉCNICAS'!F$942+'ESTIMATIVA DE HORAS TÉCNICAS'!H315*'ESTIMATIVA DE HORAS TÉCNICAS'!F$941+'ESTIMATIVA DE HORAS TÉCNICAS'!I315*'ESTIMATIVA DE HORAS TÉCNICAS'!F$945+'ESTIMATIVA DE HORAS TÉCNICAS'!J315*'ESTIMATIVA DE HORAS TÉCNICAS'!F$946+'ESTIMATIVA DE HORAS TÉCNICAS'!K315*'ESTIMATIVA DE HORAS TÉCNICAS'!$F$944+'ESTIMATIVA DE HORAS TÉCNICAS'!L315*'ESTIMATIVA DE HORAS TÉCNICAS'!F$951+'ESTIMATIVA DE HORAS TÉCNICAS'!M315*'ESTIMATIVA DE HORAS TÉCNICAS'!F$950+'ESTIMATIVA DE HORAS TÉCNICAS'!N315*'ESTIMATIVA DE HORAS TÉCNICAS'!F$949+'ESTIMATIVA DE HORAS TÉCNICAS'!O315*'ESTIMATIVA DE HORAS TÉCNICAS'!F$948+'ESTIMATIVA DE HORAS TÉCNICAS'!P315*'ESTIMATIVA DE HORAS TÉCNICAS'!$F$947+'ESTIMATIVA DE HORAS TÉCNICAS'!Q315*'ESTIMATIVA DE HORAS TÉCNICAS'!F$953+'ESTIMATIVA DE HORAS TÉCNICAS'!R315*'ESTIMATIVA DE HORAS TÉCNICAS'!F$954</f>
        <v>1186.4858182133364</v>
      </c>
      <c r="E312" s="411">
        <f>'CALCULO DO FATO K'!D$10</f>
        <v>2.3175723620309046</v>
      </c>
      <c r="F312" s="714"/>
      <c r="G312" s="714"/>
      <c r="H312" s="411">
        <f>D312*E312</f>
        <v>2749.7667402328525</v>
      </c>
      <c r="I312" s="416"/>
      <c r="J312" s="767"/>
    </row>
    <row r="313" spans="1:10" ht="15.75">
      <c r="A313" s="433" t="s">
        <v>357</v>
      </c>
      <c r="B313" s="428" t="s">
        <v>105</v>
      </c>
      <c r="C313" s="409"/>
      <c r="D313" s="787">
        <f>'ESTIMATIVA DE HORAS TÉCNICAS'!F316*'ESTIMATIVA DE HORAS TÉCNICAS'!F$943+'ESTIMATIVA DE HORAS TÉCNICAS'!G316*'ESTIMATIVA DE HORAS TÉCNICAS'!F$942+'ESTIMATIVA DE HORAS TÉCNICAS'!H316*'ESTIMATIVA DE HORAS TÉCNICAS'!F$941+'ESTIMATIVA DE HORAS TÉCNICAS'!I316*'ESTIMATIVA DE HORAS TÉCNICAS'!F$945+'ESTIMATIVA DE HORAS TÉCNICAS'!J316*'ESTIMATIVA DE HORAS TÉCNICAS'!F$946+'ESTIMATIVA DE HORAS TÉCNICAS'!K316*'ESTIMATIVA DE HORAS TÉCNICAS'!$F$944+'ESTIMATIVA DE HORAS TÉCNICAS'!L316*'ESTIMATIVA DE HORAS TÉCNICAS'!F$951+'ESTIMATIVA DE HORAS TÉCNICAS'!M316*'ESTIMATIVA DE HORAS TÉCNICAS'!F$950+'ESTIMATIVA DE HORAS TÉCNICAS'!N316*'ESTIMATIVA DE HORAS TÉCNICAS'!F$949+'ESTIMATIVA DE HORAS TÉCNICAS'!O316*'ESTIMATIVA DE HORAS TÉCNICAS'!F$948+'ESTIMATIVA DE HORAS TÉCNICAS'!P316*'ESTIMATIVA DE HORAS TÉCNICAS'!$F$947+'ESTIMATIVA DE HORAS TÉCNICAS'!Q316*'ESTIMATIVA DE HORAS TÉCNICAS'!F$953+'ESTIMATIVA DE HORAS TÉCNICAS'!R316*'ESTIMATIVA DE HORAS TÉCNICAS'!F$954</f>
        <v>1186.4858182133364</v>
      </c>
      <c r="E313" s="411">
        <f>'CALCULO DO FATO K'!D$10</f>
        <v>2.3175723620309046</v>
      </c>
      <c r="F313" s="714"/>
      <c r="G313" s="714"/>
      <c r="H313" s="411">
        <f>D313*E313</f>
        <v>2749.7667402328525</v>
      </c>
      <c r="I313" s="416"/>
      <c r="J313" s="767"/>
    </row>
    <row r="314" spans="1:10" ht="15.75">
      <c r="A314" s="433" t="s">
        <v>358</v>
      </c>
      <c r="B314" s="428" t="s">
        <v>142</v>
      </c>
      <c r="C314" s="409"/>
      <c r="D314" s="787">
        <f>'ESTIMATIVA DE HORAS TÉCNICAS'!F317*'ESTIMATIVA DE HORAS TÉCNICAS'!F$943+'ESTIMATIVA DE HORAS TÉCNICAS'!G317*'ESTIMATIVA DE HORAS TÉCNICAS'!F$942+'ESTIMATIVA DE HORAS TÉCNICAS'!H317*'ESTIMATIVA DE HORAS TÉCNICAS'!F$941+'ESTIMATIVA DE HORAS TÉCNICAS'!I317*'ESTIMATIVA DE HORAS TÉCNICAS'!F$945+'ESTIMATIVA DE HORAS TÉCNICAS'!J317*'ESTIMATIVA DE HORAS TÉCNICAS'!F$946+'ESTIMATIVA DE HORAS TÉCNICAS'!K317*'ESTIMATIVA DE HORAS TÉCNICAS'!$F$944+'ESTIMATIVA DE HORAS TÉCNICAS'!L317*'ESTIMATIVA DE HORAS TÉCNICAS'!F$951+'ESTIMATIVA DE HORAS TÉCNICAS'!M317*'ESTIMATIVA DE HORAS TÉCNICAS'!F$950+'ESTIMATIVA DE HORAS TÉCNICAS'!N317*'ESTIMATIVA DE HORAS TÉCNICAS'!F$949+'ESTIMATIVA DE HORAS TÉCNICAS'!O317*'ESTIMATIVA DE HORAS TÉCNICAS'!F$948+'ESTIMATIVA DE HORAS TÉCNICAS'!P317*'ESTIMATIVA DE HORAS TÉCNICAS'!$F$947+'ESTIMATIVA DE HORAS TÉCNICAS'!Q317*'ESTIMATIVA DE HORAS TÉCNICAS'!F$953+'ESTIMATIVA DE HORAS TÉCNICAS'!R317*'ESTIMATIVA DE HORAS TÉCNICAS'!F$954</f>
        <v>4152.7003637466769</v>
      </c>
      <c r="E314" s="411">
        <f>'CALCULO DO FATO K'!D$10</f>
        <v>2.3175723620309046</v>
      </c>
      <c r="F314" s="714"/>
      <c r="G314" s="714"/>
      <c r="H314" s="411">
        <f>D314*E314</f>
        <v>9624.1835908149824</v>
      </c>
      <c r="I314" s="416"/>
      <c r="J314" s="767"/>
    </row>
    <row r="315" spans="1:10" ht="15.75">
      <c r="A315" s="433" t="s">
        <v>359</v>
      </c>
      <c r="B315" s="768" t="s">
        <v>150</v>
      </c>
      <c r="C315" s="409"/>
      <c r="D315" s="787">
        <f>'ESTIMATIVA DE HORAS TÉCNICAS'!F318*'ESTIMATIVA DE HORAS TÉCNICAS'!F$943+'ESTIMATIVA DE HORAS TÉCNICAS'!G318*'ESTIMATIVA DE HORAS TÉCNICAS'!F$942+'ESTIMATIVA DE HORAS TÉCNICAS'!H318*'ESTIMATIVA DE HORAS TÉCNICAS'!F$941+'ESTIMATIVA DE HORAS TÉCNICAS'!I318*'ESTIMATIVA DE HORAS TÉCNICAS'!F$945+'ESTIMATIVA DE HORAS TÉCNICAS'!J318*'ESTIMATIVA DE HORAS TÉCNICAS'!F$946+'ESTIMATIVA DE HORAS TÉCNICAS'!K318*'ESTIMATIVA DE HORAS TÉCNICAS'!$F$944+'ESTIMATIVA DE HORAS TÉCNICAS'!L318*'ESTIMATIVA DE HORAS TÉCNICAS'!F$951+'ESTIMATIVA DE HORAS TÉCNICAS'!M318*'ESTIMATIVA DE HORAS TÉCNICAS'!F$950+'ESTIMATIVA DE HORAS TÉCNICAS'!N318*'ESTIMATIVA DE HORAS TÉCNICAS'!F$949+'ESTIMATIVA DE HORAS TÉCNICAS'!O318*'ESTIMATIVA DE HORAS TÉCNICAS'!F$948+'ESTIMATIVA DE HORAS TÉCNICAS'!P318*'ESTIMATIVA DE HORAS TÉCNICAS'!$F$947+'ESTIMATIVA DE HORAS TÉCNICAS'!Q318*'ESTIMATIVA DE HORAS TÉCNICAS'!F$953+'ESTIMATIVA DE HORAS TÉCNICAS'!R318*'ESTIMATIVA DE HORAS TÉCNICAS'!F$954</f>
        <v>2966.2145455333412</v>
      </c>
      <c r="E315" s="411">
        <f>'CALCULO DO FATO K'!D$10</f>
        <v>2.3175723620309046</v>
      </c>
      <c r="F315" s="714"/>
      <c r="G315" s="714"/>
      <c r="H315" s="411">
        <f>D315*E315</f>
        <v>6874.4168505821317</v>
      </c>
      <c r="I315" s="416">
        <f>SUM(H311:H315)</f>
        <v>27497.667402328527</v>
      </c>
      <c r="J315" s="767"/>
    </row>
    <row r="316" spans="1:10" s="532" customFormat="1" ht="15.75">
      <c r="A316" s="433"/>
      <c r="B316" s="768"/>
      <c r="C316" s="409"/>
      <c r="D316" s="787"/>
      <c r="E316" s="411"/>
      <c r="F316" s="714"/>
      <c r="G316" s="714"/>
      <c r="H316" s="411"/>
      <c r="I316" s="416"/>
      <c r="J316" s="767"/>
    </row>
    <row r="317" spans="1:10" s="284" customFormat="1" ht="15.75">
      <c r="A317" s="426"/>
      <c r="B317" s="768"/>
      <c r="C317" s="409"/>
      <c r="D317" s="787"/>
      <c r="E317" s="714"/>
      <c r="F317" s="714"/>
      <c r="G317" s="714"/>
      <c r="H317" s="714"/>
      <c r="I317" s="416"/>
      <c r="J317" s="767"/>
    </row>
    <row r="318" spans="1:10" ht="15.75">
      <c r="A318" s="391" t="s">
        <v>360</v>
      </c>
      <c r="B318" s="427" t="s">
        <v>126</v>
      </c>
      <c r="C318" s="474"/>
      <c r="D318" s="480"/>
      <c r="E318" s="475"/>
      <c r="F318" s="475"/>
      <c r="G318" s="475"/>
      <c r="H318" s="475"/>
      <c r="I318" s="476"/>
      <c r="J318" s="767"/>
    </row>
    <row r="319" spans="1:10" ht="15.75">
      <c r="A319" s="433" t="s">
        <v>361</v>
      </c>
      <c r="B319" s="428" t="s">
        <v>326</v>
      </c>
      <c r="C319" s="410"/>
      <c r="D319" s="787">
        <f>'ESTIMATIVA DE HORAS TÉCNICAS'!F322*'ESTIMATIVA DE HORAS TÉCNICAS'!F$943+'ESTIMATIVA DE HORAS TÉCNICAS'!G322*'ESTIMATIVA DE HORAS TÉCNICAS'!F$942+'ESTIMATIVA DE HORAS TÉCNICAS'!H322*'ESTIMATIVA DE HORAS TÉCNICAS'!F$941+'ESTIMATIVA DE HORAS TÉCNICAS'!I322*'ESTIMATIVA DE HORAS TÉCNICAS'!F$945+'ESTIMATIVA DE HORAS TÉCNICAS'!J322*'ESTIMATIVA DE HORAS TÉCNICAS'!F$946+'ESTIMATIVA DE HORAS TÉCNICAS'!K322*'ESTIMATIVA DE HORAS TÉCNICAS'!$F$944+'ESTIMATIVA DE HORAS TÉCNICAS'!L322*'ESTIMATIVA DE HORAS TÉCNICAS'!F$951+'ESTIMATIVA DE HORAS TÉCNICAS'!M322*'ESTIMATIVA DE HORAS TÉCNICAS'!F$950+'ESTIMATIVA DE HORAS TÉCNICAS'!N322*'ESTIMATIVA DE HORAS TÉCNICAS'!F$949+'ESTIMATIVA DE HORAS TÉCNICAS'!O322*'ESTIMATIVA DE HORAS TÉCNICAS'!F$948+'ESTIMATIVA DE HORAS TÉCNICAS'!P322*'ESTIMATIVA DE HORAS TÉCNICAS'!$F$947+'ESTIMATIVA DE HORAS TÉCNICAS'!Q322*'ESTIMATIVA DE HORAS TÉCNICAS'!F$953+'ESTIMATIVA DE HORAS TÉCNICAS'!R322*'ESTIMATIVA DE HORAS TÉCNICAS'!F$954</f>
        <v>1634.4257910551257</v>
      </c>
      <c r="E319" s="411">
        <f>'CALCULO DO FATO K'!D$10</f>
        <v>2.3175723620309046</v>
      </c>
      <c r="F319" s="714"/>
      <c r="G319" s="714"/>
      <c r="H319" s="411">
        <f>D319*E319</f>
        <v>3787.9000411398574</v>
      </c>
      <c r="I319" s="416"/>
      <c r="J319" s="767"/>
    </row>
    <row r="320" spans="1:10" ht="15.75">
      <c r="A320" s="433" t="s">
        <v>362</v>
      </c>
      <c r="B320" s="428" t="s">
        <v>135</v>
      </c>
      <c r="C320" s="409"/>
      <c r="D320" s="787">
        <f>'ESTIMATIVA DE HORAS TÉCNICAS'!F323*'ESTIMATIVA DE HORAS TÉCNICAS'!F$943+'ESTIMATIVA DE HORAS TÉCNICAS'!G323*'ESTIMATIVA DE HORAS TÉCNICAS'!F$942+'ESTIMATIVA DE HORAS TÉCNICAS'!H323*'ESTIMATIVA DE HORAS TÉCNICAS'!F$941+'ESTIMATIVA DE HORAS TÉCNICAS'!I323*'ESTIMATIVA DE HORAS TÉCNICAS'!F$945+'ESTIMATIVA DE HORAS TÉCNICAS'!J323*'ESTIMATIVA DE HORAS TÉCNICAS'!F$946+'ESTIMATIVA DE HORAS TÉCNICAS'!K323*'ESTIMATIVA DE HORAS TÉCNICAS'!$F$944+'ESTIMATIVA DE HORAS TÉCNICAS'!L323*'ESTIMATIVA DE HORAS TÉCNICAS'!F$951+'ESTIMATIVA DE HORAS TÉCNICAS'!M323*'ESTIMATIVA DE HORAS TÉCNICAS'!F$950+'ESTIMATIVA DE HORAS TÉCNICAS'!N323*'ESTIMATIVA DE HORAS TÉCNICAS'!F$949+'ESTIMATIVA DE HORAS TÉCNICAS'!O323*'ESTIMATIVA DE HORAS TÉCNICAS'!F$948+'ESTIMATIVA DE HORAS TÉCNICAS'!P323*'ESTIMATIVA DE HORAS TÉCNICAS'!$F$947+'ESTIMATIVA DE HORAS TÉCNICAS'!Q323*'ESTIMATIVA DE HORAS TÉCNICAS'!F$953+'ESTIMATIVA DE HORAS TÉCNICAS'!R323*'ESTIMATIVA DE HORAS TÉCNICAS'!F$954</f>
        <v>817.21289552756286</v>
      </c>
      <c r="E320" s="411">
        <f>'CALCULO DO FATO K'!D$10</f>
        <v>2.3175723620309046</v>
      </c>
      <c r="F320" s="714"/>
      <c r="G320" s="714"/>
      <c r="H320" s="411">
        <f>D320*E320</f>
        <v>1893.9500205699287</v>
      </c>
      <c r="I320" s="416"/>
      <c r="J320" s="767"/>
    </row>
    <row r="321" spans="1:10" ht="15.75">
      <c r="A321" s="433" t="s">
        <v>363</v>
      </c>
      <c r="B321" s="428" t="s">
        <v>105</v>
      </c>
      <c r="C321" s="409"/>
      <c r="D321" s="787">
        <f>'ESTIMATIVA DE HORAS TÉCNICAS'!F324*'ESTIMATIVA DE HORAS TÉCNICAS'!F$943+'ESTIMATIVA DE HORAS TÉCNICAS'!G324*'ESTIMATIVA DE HORAS TÉCNICAS'!F$942+'ESTIMATIVA DE HORAS TÉCNICAS'!H324*'ESTIMATIVA DE HORAS TÉCNICAS'!F$941+'ESTIMATIVA DE HORAS TÉCNICAS'!I324*'ESTIMATIVA DE HORAS TÉCNICAS'!F$945+'ESTIMATIVA DE HORAS TÉCNICAS'!J324*'ESTIMATIVA DE HORAS TÉCNICAS'!F$946+'ESTIMATIVA DE HORAS TÉCNICAS'!K324*'ESTIMATIVA DE HORAS TÉCNICAS'!$F$944+'ESTIMATIVA DE HORAS TÉCNICAS'!L324*'ESTIMATIVA DE HORAS TÉCNICAS'!F$951+'ESTIMATIVA DE HORAS TÉCNICAS'!M324*'ESTIMATIVA DE HORAS TÉCNICAS'!F$950+'ESTIMATIVA DE HORAS TÉCNICAS'!N324*'ESTIMATIVA DE HORAS TÉCNICAS'!F$949+'ESTIMATIVA DE HORAS TÉCNICAS'!O324*'ESTIMATIVA DE HORAS TÉCNICAS'!F$948+'ESTIMATIVA DE HORAS TÉCNICAS'!P324*'ESTIMATIVA DE HORAS TÉCNICAS'!$F$947+'ESTIMATIVA DE HORAS TÉCNICAS'!Q324*'ESTIMATIVA DE HORAS TÉCNICAS'!F$953+'ESTIMATIVA DE HORAS TÉCNICAS'!R324*'ESTIMATIVA DE HORAS TÉCNICAS'!F$954</f>
        <v>817.21289552756286</v>
      </c>
      <c r="E321" s="411">
        <f>'CALCULO DO FATO K'!D$10</f>
        <v>2.3175723620309046</v>
      </c>
      <c r="F321" s="714"/>
      <c r="G321" s="714"/>
      <c r="H321" s="411">
        <f>D321*E321</f>
        <v>1893.9500205699287</v>
      </c>
      <c r="I321" s="416"/>
      <c r="J321" s="767"/>
    </row>
    <row r="322" spans="1:10" ht="15.75">
      <c r="A322" s="433" t="s">
        <v>364</v>
      </c>
      <c r="B322" s="428" t="s">
        <v>142</v>
      </c>
      <c r="C322" s="409"/>
      <c r="D322" s="787">
        <f>'ESTIMATIVA DE HORAS TÉCNICAS'!F325*'ESTIMATIVA DE HORAS TÉCNICAS'!F$943+'ESTIMATIVA DE HORAS TÉCNICAS'!G325*'ESTIMATIVA DE HORAS TÉCNICAS'!F$942+'ESTIMATIVA DE HORAS TÉCNICAS'!H325*'ESTIMATIVA DE HORAS TÉCNICAS'!F$941+'ESTIMATIVA DE HORAS TÉCNICAS'!I325*'ESTIMATIVA DE HORAS TÉCNICAS'!F$945+'ESTIMATIVA DE HORAS TÉCNICAS'!J325*'ESTIMATIVA DE HORAS TÉCNICAS'!F$946+'ESTIMATIVA DE HORAS TÉCNICAS'!K325*'ESTIMATIVA DE HORAS TÉCNICAS'!$F$944+'ESTIMATIVA DE HORAS TÉCNICAS'!L325*'ESTIMATIVA DE HORAS TÉCNICAS'!F$951+'ESTIMATIVA DE HORAS TÉCNICAS'!M325*'ESTIMATIVA DE HORAS TÉCNICAS'!F$950+'ESTIMATIVA DE HORAS TÉCNICAS'!N325*'ESTIMATIVA DE HORAS TÉCNICAS'!F$949+'ESTIMATIVA DE HORAS TÉCNICAS'!O325*'ESTIMATIVA DE HORAS TÉCNICAS'!F$948+'ESTIMATIVA DE HORAS TÉCNICAS'!P325*'ESTIMATIVA DE HORAS TÉCNICAS'!$F$947+'ESTIMATIVA DE HORAS TÉCNICAS'!Q325*'ESTIMATIVA DE HORAS TÉCNICAS'!F$953+'ESTIMATIVA DE HORAS TÉCNICAS'!R325*'ESTIMATIVA DE HORAS TÉCNICAS'!F$954</f>
        <v>2860.2451343464695</v>
      </c>
      <c r="E322" s="411">
        <f>'CALCULO DO FATO K'!D$10</f>
        <v>2.3175723620309046</v>
      </c>
      <c r="F322" s="714"/>
      <c r="G322" s="714"/>
      <c r="H322" s="411">
        <f>D322*E322</f>
        <v>6628.8250719947491</v>
      </c>
      <c r="I322" s="416"/>
      <c r="J322" s="767"/>
    </row>
    <row r="323" spans="1:10" ht="15.75">
      <c r="A323" s="433" t="s">
        <v>365</v>
      </c>
      <c r="B323" s="428" t="s">
        <v>150</v>
      </c>
      <c r="C323" s="409"/>
      <c r="D323" s="787">
        <f>'ESTIMATIVA DE HORAS TÉCNICAS'!F326*'ESTIMATIVA DE HORAS TÉCNICAS'!F$943+'ESTIMATIVA DE HORAS TÉCNICAS'!G326*'ESTIMATIVA DE HORAS TÉCNICAS'!F$942+'ESTIMATIVA DE HORAS TÉCNICAS'!H326*'ESTIMATIVA DE HORAS TÉCNICAS'!F$941+'ESTIMATIVA DE HORAS TÉCNICAS'!I326*'ESTIMATIVA DE HORAS TÉCNICAS'!F$945+'ESTIMATIVA DE HORAS TÉCNICAS'!J326*'ESTIMATIVA DE HORAS TÉCNICAS'!F$946+'ESTIMATIVA DE HORAS TÉCNICAS'!K326*'ESTIMATIVA DE HORAS TÉCNICAS'!$F$944+'ESTIMATIVA DE HORAS TÉCNICAS'!L326*'ESTIMATIVA DE HORAS TÉCNICAS'!F$951+'ESTIMATIVA DE HORAS TÉCNICAS'!M326*'ESTIMATIVA DE HORAS TÉCNICAS'!F$950+'ESTIMATIVA DE HORAS TÉCNICAS'!N326*'ESTIMATIVA DE HORAS TÉCNICAS'!F$949+'ESTIMATIVA DE HORAS TÉCNICAS'!O326*'ESTIMATIVA DE HORAS TÉCNICAS'!F$948+'ESTIMATIVA DE HORAS TÉCNICAS'!P326*'ESTIMATIVA DE HORAS TÉCNICAS'!$F$947+'ESTIMATIVA DE HORAS TÉCNICAS'!Q326*'ESTIMATIVA DE HORAS TÉCNICAS'!F$953+'ESTIMATIVA DE HORAS TÉCNICAS'!R326*'ESTIMATIVA DE HORAS TÉCNICAS'!F$954</f>
        <v>2043.032238818907</v>
      </c>
      <c r="E323" s="411">
        <f>'CALCULO DO FATO K'!D$10</f>
        <v>2.3175723620309046</v>
      </c>
      <c r="F323" s="714"/>
      <c r="G323" s="714"/>
      <c r="H323" s="411">
        <f>D323*E323</f>
        <v>4734.8750514248213</v>
      </c>
      <c r="I323" s="416">
        <f>SUM(H319:H323)</f>
        <v>18939.500205699285</v>
      </c>
      <c r="J323" s="767"/>
    </row>
    <row r="324" spans="1:10" s="532" customFormat="1" ht="15.75">
      <c r="A324" s="433"/>
      <c r="B324" s="428"/>
      <c r="C324" s="409"/>
      <c r="D324" s="787"/>
      <c r="E324" s="411"/>
      <c r="F324" s="714"/>
      <c r="G324" s="714"/>
      <c r="H324" s="411"/>
      <c r="I324" s="416"/>
      <c r="J324" s="767"/>
    </row>
    <row r="325" spans="1:10" ht="15.75">
      <c r="A325" s="426"/>
      <c r="B325" s="768"/>
      <c r="C325" s="409"/>
      <c r="D325" s="787"/>
      <c r="E325" s="714"/>
      <c r="F325" s="714"/>
      <c r="G325" s="714"/>
      <c r="H325" s="714"/>
      <c r="I325" s="416"/>
      <c r="J325" s="767"/>
    </row>
    <row r="326" spans="1:10" ht="15.75">
      <c r="A326" s="391" t="s">
        <v>366</v>
      </c>
      <c r="B326" s="427" t="s">
        <v>367</v>
      </c>
      <c r="C326" s="474"/>
      <c r="D326" s="480"/>
      <c r="E326" s="475"/>
      <c r="F326" s="475"/>
      <c r="G326" s="475"/>
      <c r="H326" s="475"/>
      <c r="I326" s="476"/>
      <c r="J326" s="767"/>
    </row>
    <row r="327" spans="1:10" ht="15.75">
      <c r="A327" s="433" t="s">
        <v>368</v>
      </c>
      <c r="B327" s="428" t="s">
        <v>133</v>
      </c>
      <c r="C327" s="409"/>
      <c r="D327" s="787">
        <f>'ESTIMATIVA DE HORAS TÉCNICAS'!F330*'ESTIMATIVA DE HORAS TÉCNICAS'!F$943+'ESTIMATIVA DE HORAS TÉCNICAS'!G330*'ESTIMATIVA DE HORAS TÉCNICAS'!F$942+'ESTIMATIVA DE HORAS TÉCNICAS'!H330*'ESTIMATIVA DE HORAS TÉCNICAS'!F$941+'ESTIMATIVA DE HORAS TÉCNICAS'!I330*'ESTIMATIVA DE HORAS TÉCNICAS'!F$945+'ESTIMATIVA DE HORAS TÉCNICAS'!J330*'ESTIMATIVA DE HORAS TÉCNICAS'!F$946+'ESTIMATIVA DE HORAS TÉCNICAS'!K330*'ESTIMATIVA DE HORAS TÉCNICAS'!$F$944+'ESTIMATIVA DE HORAS TÉCNICAS'!L330*'ESTIMATIVA DE HORAS TÉCNICAS'!F$951+'ESTIMATIVA DE HORAS TÉCNICAS'!M330*'ESTIMATIVA DE HORAS TÉCNICAS'!F$950+'ESTIMATIVA DE HORAS TÉCNICAS'!N330*'ESTIMATIVA DE HORAS TÉCNICAS'!F$949+'ESTIMATIVA DE HORAS TÉCNICAS'!O330*'ESTIMATIVA DE HORAS TÉCNICAS'!F$948+'ESTIMATIVA DE HORAS TÉCNICAS'!P330*'ESTIMATIVA DE HORAS TÉCNICAS'!$F$947+'ESTIMATIVA DE HORAS TÉCNICAS'!Q330*'ESTIMATIVA DE HORAS TÉCNICAS'!F$953+'ESTIMATIVA DE HORAS TÉCNICAS'!R330*'ESTIMATIVA DE HORAS TÉCNICAS'!F$954</f>
        <v>1809.1047392811738</v>
      </c>
      <c r="E327" s="411">
        <f>'CALCULO DO FATO K'!D$10</f>
        <v>2.3175723620309046</v>
      </c>
      <c r="F327" s="714"/>
      <c r="G327" s="714"/>
      <c r="H327" s="411">
        <f t="shared" ref="H327:H333" si="9">D327*E327</f>
        <v>4192.7311437771741</v>
      </c>
      <c r="I327" s="416"/>
      <c r="J327" s="767"/>
    </row>
    <row r="328" spans="1:10" ht="15.75">
      <c r="A328" s="433" t="s">
        <v>369</v>
      </c>
      <c r="B328" s="428" t="s">
        <v>135</v>
      </c>
      <c r="C328" s="409"/>
      <c r="D328" s="787">
        <f>'ESTIMATIVA DE HORAS TÉCNICAS'!F331*'ESTIMATIVA DE HORAS TÉCNICAS'!F$943+'ESTIMATIVA DE HORAS TÉCNICAS'!G331*'ESTIMATIVA DE HORAS TÉCNICAS'!F$942+'ESTIMATIVA DE HORAS TÉCNICAS'!H331*'ESTIMATIVA DE HORAS TÉCNICAS'!F$941+'ESTIMATIVA DE HORAS TÉCNICAS'!I331*'ESTIMATIVA DE HORAS TÉCNICAS'!F$945+'ESTIMATIVA DE HORAS TÉCNICAS'!J331*'ESTIMATIVA DE HORAS TÉCNICAS'!F$946+'ESTIMATIVA DE HORAS TÉCNICAS'!K331*'ESTIMATIVA DE HORAS TÉCNICAS'!$F$944+'ESTIMATIVA DE HORAS TÉCNICAS'!L331*'ESTIMATIVA DE HORAS TÉCNICAS'!F$951+'ESTIMATIVA DE HORAS TÉCNICAS'!M331*'ESTIMATIVA DE HORAS TÉCNICAS'!F$950+'ESTIMATIVA DE HORAS TÉCNICAS'!N331*'ESTIMATIVA DE HORAS TÉCNICAS'!F$949+'ESTIMATIVA DE HORAS TÉCNICAS'!O331*'ESTIMATIVA DE HORAS TÉCNICAS'!F$948+'ESTIMATIVA DE HORAS TÉCNICAS'!P331*'ESTIMATIVA DE HORAS TÉCNICAS'!$F$947+'ESTIMATIVA DE HORAS TÉCNICAS'!Q331*'ESTIMATIVA DE HORAS TÉCNICAS'!F$953+'ESTIMATIVA DE HORAS TÉCNICAS'!R331*'ESTIMATIVA DE HORAS TÉCNICAS'!F$954</f>
        <v>1809.1047392811738</v>
      </c>
      <c r="E328" s="411">
        <f>'CALCULO DO FATO K'!D$10</f>
        <v>2.3175723620309046</v>
      </c>
      <c r="F328" s="714"/>
      <c r="G328" s="714"/>
      <c r="H328" s="411">
        <f t="shared" si="9"/>
        <v>4192.7311437771741</v>
      </c>
      <c r="I328" s="416"/>
      <c r="J328" s="767"/>
    </row>
    <row r="329" spans="1:10" ht="15.75">
      <c r="A329" s="433" t="s">
        <v>370</v>
      </c>
      <c r="B329" s="428" t="s">
        <v>112</v>
      </c>
      <c r="C329" s="409"/>
      <c r="D329" s="787">
        <f>'ESTIMATIVA DE HORAS TÉCNICAS'!F332*'ESTIMATIVA DE HORAS TÉCNICAS'!F$943+'ESTIMATIVA DE HORAS TÉCNICAS'!G332*'ESTIMATIVA DE HORAS TÉCNICAS'!F$942+'ESTIMATIVA DE HORAS TÉCNICAS'!H332*'ESTIMATIVA DE HORAS TÉCNICAS'!F$941+'ESTIMATIVA DE HORAS TÉCNICAS'!I332*'ESTIMATIVA DE HORAS TÉCNICAS'!F$945+'ESTIMATIVA DE HORAS TÉCNICAS'!J332*'ESTIMATIVA DE HORAS TÉCNICAS'!F$946+'ESTIMATIVA DE HORAS TÉCNICAS'!K332*'ESTIMATIVA DE HORAS TÉCNICAS'!$F$944+'ESTIMATIVA DE HORAS TÉCNICAS'!L332*'ESTIMATIVA DE HORAS TÉCNICAS'!F$951+'ESTIMATIVA DE HORAS TÉCNICAS'!M332*'ESTIMATIVA DE HORAS TÉCNICAS'!F$950+'ESTIMATIVA DE HORAS TÉCNICAS'!N332*'ESTIMATIVA DE HORAS TÉCNICAS'!F$949+'ESTIMATIVA DE HORAS TÉCNICAS'!O332*'ESTIMATIVA DE HORAS TÉCNICAS'!F$948+'ESTIMATIVA DE HORAS TÉCNICAS'!P332*'ESTIMATIVA DE HORAS TÉCNICAS'!$F$947+'ESTIMATIVA DE HORAS TÉCNICAS'!Q332*'ESTIMATIVA DE HORAS TÉCNICAS'!F$953+'ESTIMATIVA DE HORAS TÉCNICAS'!R332*'ESTIMATIVA DE HORAS TÉCNICAS'!F$954</f>
        <v>1809.1047392811738</v>
      </c>
      <c r="E329" s="411">
        <f>'CALCULO DO FATO K'!D$10</f>
        <v>2.3175723620309046</v>
      </c>
      <c r="F329" s="714"/>
      <c r="G329" s="714"/>
      <c r="H329" s="411">
        <f t="shared" si="9"/>
        <v>4192.7311437771741</v>
      </c>
      <c r="I329" s="416"/>
      <c r="J329" s="767"/>
    </row>
    <row r="330" spans="1:10" ht="15.75">
      <c r="A330" s="433" t="s">
        <v>371</v>
      </c>
      <c r="B330" s="428" t="s">
        <v>105</v>
      </c>
      <c r="C330" s="409"/>
      <c r="D330" s="787">
        <f>'ESTIMATIVA DE HORAS TÉCNICAS'!F333*'ESTIMATIVA DE HORAS TÉCNICAS'!F$943+'ESTIMATIVA DE HORAS TÉCNICAS'!G333*'ESTIMATIVA DE HORAS TÉCNICAS'!F$942+'ESTIMATIVA DE HORAS TÉCNICAS'!H333*'ESTIMATIVA DE HORAS TÉCNICAS'!F$941+'ESTIMATIVA DE HORAS TÉCNICAS'!I333*'ESTIMATIVA DE HORAS TÉCNICAS'!F$945+'ESTIMATIVA DE HORAS TÉCNICAS'!J333*'ESTIMATIVA DE HORAS TÉCNICAS'!F$946+'ESTIMATIVA DE HORAS TÉCNICAS'!K333*'ESTIMATIVA DE HORAS TÉCNICAS'!$F$944+'ESTIMATIVA DE HORAS TÉCNICAS'!L333*'ESTIMATIVA DE HORAS TÉCNICAS'!F$951+'ESTIMATIVA DE HORAS TÉCNICAS'!M333*'ESTIMATIVA DE HORAS TÉCNICAS'!F$950+'ESTIMATIVA DE HORAS TÉCNICAS'!N333*'ESTIMATIVA DE HORAS TÉCNICAS'!F$949+'ESTIMATIVA DE HORAS TÉCNICAS'!O333*'ESTIMATIVA DE HORAS TÉCNICAS'!F$948+'ESTIMATIVA DE HORAS TÉCNICAS'!P333*'ESTIMATIVA DE HORAS TÉCNICAS'!$F$947+'ESTIMATIVA DE HORAS TÉCNICAS'!Q333*'ESTIMATIVA DE HORAS TÉCNICAS'!F$953+'ESTIMATIVA DE HORAS TÉCNICAS'!R333*'ESTIMATIVA DE HORAS TÉCNICAS'!F$954</f>
        <v>1206.0698261874495</v>
      </c>
      <c r="E330" s="411">
        <f>'CALCULO DO FATO K'!D$10</f>
        <v>2.3175723620309046</v>
      </c>
      <c r="F330" s="714"/>
      <c r="G330" s="714"/>
      <c r="H330" s="411">
        <f t="shared" si="9"/>
        <v>2795.1540958514497</v>
      </c>
      <c r="I330" s="416"/>
      <c r="J330" s="767"/>
    </row>
    <row r="331" spans="1:10" ht="15.75">
      <c r="A331" s="433" t="s">
        <v>372</v>
      </c>
      <c r="B331" s="428" t="s">
        <v>142</v>
      </c>
      <c r="C331" s="409"/>
      <c r="D331" s="787">
        <f>'ESTIMATIVA DE HORAS TÉCNICAS'!F334*'ESTIMATIVA DE HORAS TÉCNICAS'!F$943+'ESTIMATIVA DE HORAS TÉCNICAS'!G334*'ESTIMATIVA DE HORAS TÉCNICAS'!F$942+'ESTIMATIVA DE HORAS TÉCNICAS'!H334*'ESTIMATIVA DE HORAS TÉCNICAS'!F$941+'ESTIMATIVA DE HORAS TÉCNICAS'!I334*'ESTIMATIVA DE HORAS TÉCNICAS'!F$945+'ESTIMATIVA DE HORAS TÉCNICAS'!J334*'ESTIMATIVA DE HORAS TÉCNICAS'!F$946+'ESTIMATIVA DE HORAS TÉCNICAS'!K334*'ESTIMATIVA DE HORAS TÉCNICAS'!$F$944+'ESTIMATIVA DE HORAS TÉCNICAS'!L334*'ESTIMATIVA DE HORAS TÉCNICAS'!F$951+'ESTIMATIVA DE HORAS TÉCNICAS'!M334*'ESTIMATIVA DE HORAS TÉCNICAS'!F$950+'ESTIMATIVA DE HORAS TÉCNICAS'!N334*'ESTIMATIVA DE HORAS TÉCNICAS'!F$949+'ESTIMATIVA DE HORAS TÉCNICAS'!O334*'ESTIMATIVA DE HORAS TÉCNICAS'!F$948+'ESTIMATIVA DE HORAS TÉCNICAS'!P334*'ESTIMATIVA DE HORAS TÉCNICAS'!$F$947+'ESTIMATIVA DE HORAS TÉCNICAS'!Q334*'ESTIMATIVA DE HORAS TÉCNICAS'!F$953+'ESTIMATIVA DE HORAS TÉCNICAS'!R334*'ESTIMATIVA DE HORAS TÉCNICAS'!F$954</f>
        <v>3015.1745654686238</v>
      </c>
      <c r="E331" s="411">
        <f>'CALCULO DO FATO K'!D$10</f>
        <v>2.3175723620309046</v>
      </c>
      <c r="F331" s="714"/>
      <c r="G331" s="714"/>
      <c r="H331" s="411">
        <f t="shared" si="9"/>
        <v>6987.8852396286247</v>
      </c>
      <c r="I331" s="416"/>
      <c r="J331" s="767"/>
    </row>
    <row r="332" spans="1:10" ht="15.75">
      <c r="A332" s="426" t="s">
        <v>373</v>
      </c>
      <c r="B332" s="428" t="s">
        <v>150</v>
      </c>
      <c r="C332" s="409"/>
      <c r="D332" s="787">
        <f>'ESTIMATIVA DE HORAS TÉCNICAS'!F335*'ESTIMATIVA DE HORAS TÉCNICAS'!F$943+'ESTIMATIVA DE HORAS TÉCNICAS'!G335*'ESTIMATIVA DE HORAS TÉCNICAS'!F$942+'ESTIMATIVA DE HORAS TÉCNICAS'!H335*'ESTIMATIVA DE HORAS TÉCNICAS'!F$941+'ESTIMATIVA DE HORAS TÉCNICAS'!I335*'ESTIMATIVA DE HORAS TÉCNICAS'!F$945+'ESTIMATIVA DE HORAS TÉCNICAS'!J335*'ESTIMATIVA DE HORAS TÉCNICAS'!F$946+'ESTIMATIVA DE HORAS TÉCNICAS'!K335*'ESTIMATIVA DE HORAS TÉCNICAS'!$F$944+'ESTIMATIVA DE HORAS TÉCNICAS'!L335*'ESTIMATIVA DE HORAS TÉCNICAS'!F$951+'ESTIMATIVA DE HORAS TÉCNICAS'!M335*'ESTIMATIVA DE HORAS TÉCNICAS'!F$950+'ESTIMATIVA DE HORAS TÉCNICAS'!N335*'ESTIMATIVA DE HORAS TÉCNICAS'!F$949+'ESTIMATIVA DE HORAS TÉCNICAS'!O335*'ESTIMATIVA DE HORAS TÉCNICAS'!F$948+'ESTIMATIVA DE HORAS TÉCNICAS'!P335*'ESTIMATIVA DE HORAS TÉCNICAS'!$F$947+'ESTIMATIVA DE HORAS TÉCNICAS'!Q335*'ESTIMATIVA DE HORAS TÉCNICAS'!F$953+'ESTIMATIVA DE HORAS TÉCNICAS'!R335*'ESTIMATIVA DE HORAS TÉCNICAS'!F$954</f>
        <v>1206.0698261874495</v>
      </c>
      <c r="E332" s="411">
        <f>'CALCULO DO FATO K'!D$10</f>
        <v>2.3175723620309046</v>
      </c>
      <c r="F332" s="714"/>
      <c r="G332" s="714"/>
      <c r="H332" s="411">
        <f t="shared" si="9"/>
        <v>2795.1540958514497</v>
      </c>
      <c r="I332" s="416"/>
      <c r="J332" s="767"/>
    </row>
    <row r="333" spans="1:10" ht="15.75">
      <c r="A333" s="426" t="s">
        <v>374</v>
      </c>
      <c r="B333" s="428" t="s">
        <v>152</v>
      </c>
      <c r="C333" s="409"/>
      <c r="D333" s="787">
        <f>'ESTIMATIVA DE HORAS TÉCNICAS'!F336*'ESTIMATIVA DE HORAS TÉCNICAS'!F$943+'ESTIMATIVA DE HORAS TÉCNICAS'!G336*'ESTIMATIVA DE HORAS TÉCNICAS'!F$942+'ESTIMATIVA DE HORAS TÉCNICAS'!H336*'ESTIMATIVA DE HORAS TÉCNICAS'!F$941+'ESTIMATIVA DE HORAS TÉCNICAS'!I336*'ESTIMATIVA DE HORAS TÉCNICAS'!F$945+'ESTIMATIVA DE HORAS TÉCNICAS'!J336*'ESTIMATIVA DE HORAS TÉCNICAS'!F$946+'ESTIMATIVA DE HORAS TÉCNICAS'!K336*'ESTIMATIVA DE HORAS TÉCNICAS'!$F$944+'ESTIMATIVA DE HORAS TÉCNICAS'!L336*'ESTIMATIVA DE HORAS TÉCNICAS'!F$951+'ESTIMATIVA DE HORAS TÉCNICAS'!M336*'ESTIMATIVA DE HORAS TÉCNICAS'!F$950+'ESTIMATIVA DE HORAS TÉCNICAS'!N336*'ESTIMATIVA DE HORAS TÉCNICAS'!F$949+'ESTIMATIVA DE HORAS TÉCNICAS'!O336*'ESTIMATIVA DE HORAS TÉCNICAS'!F$948+'ESTIMATIVA DE HORAS TÉCNICAS'!P336*'ESTIMATIVA DE HORAS TÉCNICAS'!$F$947+'ESTIMATIVA DE HORAS TÉCNICAS'!Q336*'ESTIMATIVA DE HORAS TÉCNICAS'!F$953+'ESTIMATIVA DE HORAS TÉCNICAS'!R336*'ESTIMATIVA DE HORAS TÉCNICAS'!F$954</f>
        <v>1206.0698261874495</v>
      </c>
      <c r="E333" s="411">
        <f>'CALCULO DO FATO K'!D$10</f>
        <v>2.3175723620309046</v>
      </c>
      <c r="F333" s="714"/>
      <c r="G333" s="714"/>
      <c r="H333" s="411">
        <f t="shared" si="9"/>
        <v>2795.1540958514497</v>
      </c>
      <c r="I333" s="416">
        <f>SUM(H327:H333)</f>
        <v>27951.540958514492</v>
      </c>
      <c r="J333" s="767"/>
    </row>
    <row r="334" spans="1:10" s="532" customFormat="1" ht="15.75">
      <c r="A334" s="426"/>
      <c r="B334" s="428"/>
      <c r="C334" s="409"/>
      <c r="D334" s="787"/>
      <c r="E334" s="411"/>
      <c r="F334" s="714"/>
      <c r="G334" s="714"/>
      <c r="H334" s="411"/>
      <c r="I334" s="416"/>
      <c r="J334" s="767"/>
    </row>
    <row r="335" spans="1:10" ht="15.75">
      <c r="A335" s="426"/>
      <c r="B335" s="768"/>
      <c r="C335" s="409"/>
      <c r="D335" s="787"/>
      <c r="E335" s="714"/>
      <c r="F335" s="714"/>
      <c r="G335" s="714"/>
      <c r="H335" s="714"/>
      <c r="I335" s="416"/>
      <c r="J335" s="767"/>
    </row>
    <row r="336" spans="1:10" s="318" customFormat="1" ht="15.75">
      <c r="A336" s="391" t="s">
        <v>375</v>
      </c>
      <c r="B336" s="364" t="s">
        <v>376</v>
      </c>
      <c r="C336" s="474"/>
      <c r="D336" s="480"/>
      <c r="E336" s="475"/>
      <c r="F336" s="475"/>
      <c r="G336" s="475"/>
      <c r="H336" s="475"/>
      <c r="I336" s="476"/>
      <c r="J336" s="767"/>
    </row>
    <row r="337" spans="1:10" ht="15.75">
      <c r="A337" s="852" t="s">
        <v>377</v>
      </c>
      <c r="B337" s="364" t="s">
        <v>378</v>
      </c>
      <c r="C337" s="474"/>
      <c r="D337" s="480"/>
      <c r="E337" s="475"/>
      <c r="F337" s="475"/>
      <c r="G337" s="475"/>
      <c r="H337" s="475"/>
      <c r="I337" s="476"/>
      <c r="J337" s="767"/>
    </row>
    <row r="338" spans="1:10" ht="15.75">
      <c r="A338" s="426" t="s">
        <v>379</v>
      </c>
      <c r="B338" s="428" t="s">
        <v>326</v>
      </c>
      <c r="C338" s="409"/>
      <c r="D338" s="787">
        <f>'ESTIMATIVA DE HORAS TÉCNICAS'!F341*'ESTIMATIVA DE HORAS TÉCNICAS'!F$943+'ESTIMATIVA DE HORAS TÉCNICAS'!G341*'ESTIMATIVA DE HORAS TÉCNICAS'!F$942+'ESTIMATIVA DE HORAS TÉCNICAS'!H341*'ESTIMATIVA DE HORAS TÉCNICAS'!F$941+'ESTIMATIVA DE HORAS TÉCNICAS'!I341*'ESTIMATIVA DE HORAS TÉCNICAS'!F$945+'ESTIMATIVA DE HORAS TÉCNICAS'!J341*'ESTIMATIVA DE HORAS TÉCNICAS'!F$946+'ESTIMATIVA DE HORAS TÉCNICAS'!K341*'ESTIMATIVA DE HORAS TÉCNICAS'!$F$944+'ESTIMATIVA DE HORAS TÉCNICAS'!L341*'ESTIMATIVA DE HORAS TÉCNICAS'!F$951+'ESTIMATIVA DE HORAS TÉCNICAS'!M341*'ESTIMATIVA DE HORAS TÉCNICAS'!F$950+'ESTIMATIVA DE HORAS TÉCNICAS'!N341*'ESTIMATIVA DE HORAS TÉCNICAS'!F$949+'ESTIMATIVA DE HORAS TÉCNICAS'!O341*'ESTIMATIVA DE HORAS TÉCNICAS'!F$948+'ESTIMATIVA DE HORAS TÉCNICAS'!P341*'ESTIMATIVA DE HORAS TÉCNICAS'!$F$947+'ESTIMATIVA DE HORAS TÉCNICAS'!Q341*'ESTIMATIVA DE HORAS TÉCNICAS'!F$953+'ESTIMATIVA DE HORAS TÉCNICAS'!R341*'ESTIMATIVA DE HORAS TÉCNICAS'!F$954</f>
        <v>7775.9005463423091</v>
      </c>
      <c r="E338" s="411">
        <f>'CALCULO DO FATO K'!D$10</f>
        <v>2.3175723620309046</v>
      </c>
      <c r="F338" s="714"/>
      <c r="G338" s="714"/>
      <c r="H338" s="411">
        <f t="shared" ref="H338:H346" si="10">D338*E338</f>
        <v>18021.212196103945</v>
      </c>
      <c r="I338" s="416"/>
      <c r="J338" s="767"/>
    </row>
    <row r="339" spans="1:10" ht="15.75">
      <c r="A339" s="426" t="s">
        <v>380</v>
      </c>
      <c r="B339" s="428" t="s">
        <v>135</v>
      </c>
      <c r="C339" s="409"/>
      <c r="D339" s="787">
        <f>'ESTIMATIVA DE HORAS TÉCNICAS'!F342*'ESTIMATIVA DE HORAS TÉCNICAS'!F$943+'ESTIMATIVA DE HORAS TÉCNICAS'!G342*'ESTIMATIVA DE HORAS TÉCNICAS'!F$942+'ESTIMATIVA DE HORAS TÉCNICAS'!H342*'ESTIMATIVA DE HORAS TÉCNICAS'!F$941+'ESTIMATIVA DE HORAS TÉCNICAS'!I342*'ESTIMATIVA DE HORAS TÉCNICAS'!F$945+'ESTIMATIVA DE HORAS TÉCNICAS'!J342*'ESTIMATIVA DE HORAS TÉCNICAS'!F$946+'ESTIMATIVA DE HORAS TÉCNICAS'!K342*'ESTIMATIVA DE HORAS TÉCNICAS'!$F$944+'ESTIMATIVA DE HORAS TÉCNICAS'!L342*'ESTIMATIVA DE HORAS TÉCNICAS'!F$951+'ESTIMATIVA DE HORAS TÉCNICAS'!M342*'ESTIMATIVA DE HORAS TÉCNICAS'!F$950+'ESTIMATIVA DE HORAS TÉCNICAS'!N342*'ESTIMATIVA DE HORAS TÉCNICAS'!F$949+'ESTIMATIVA DE HORAS TÉCNICAS'!O342*'ESTIMATIVA DE HORAS TÉCNICAS'!F$948+'ESTIMATIVA DE HORAS TÉCNICAS'!P342*'ESTIMATIVA DE HORAS TÉCNICAS'!$F$947+'ESTIMATIVA DE HORAS TÉCNICAS'!Q342*'ESTIMATIVA DE HORAS TÉCNICAS'!F$953+'ESTIMATIVA DE HORAS TÉCNICAS'!R342*'ESTIMATIVA DE HORAS TÉCNICAS'!F$954</f>
        <v>5183.9336975615406</v>
      </c>
      <c r="E339" s="411">
        <f>'CALCULO DO FATO K'!D$10</f>
        <v>2.3175723620309046</v>
      </c>
      <c r="F339" s="714"/>
      <c r="G339" s="714"/>
      <c r="H339" s="411">
        <f t="shared" si="10"/>
        <v>12014.1414640693</v>
      </c>
      <c r="I339" s="416"/>
      <c r="J339" s="767"/>
    </row>
    <row r="340" spans="1:10" ht="15.75">
      <c r="A340" s="426" t="s">
        <v>381</v>
      </c>
      <c r="B340" s="428" t="s">
        <v>137</v>
      </c>
      <c r="C340" s="409"/>
      <c r="D340" s="787">
        <f>'ESTIMATIVA DE HORAS TÉCNICAS'!F343*'ESTIMATIVA DE HORAS TÉCNICAS'!F$943+'ESTIMATIVA DE HORAS TÉCNICAS'!G343*'ESTIMATIVA DE HORAS TÉCNICAS'!F$942+'ESTIMATIVA DE HORAS TÉCNICAS'!H343*'ESTIMATIVA DE HORAS TÉCNICAS'!F$941+'ESTIMATIVA DE HORAS TÉCNICAS'!I343*'ESTIMATIVA DE HORAS TÉCNICAS'!F$945+'ESTIMATIVA DE HORAS TÉCNICAS'!J343*'ESTIMATIVA DE HORAS TÉCNICAS'!F$946+'ESTIMATIVA DE HORAS TÉCNICAS'!K343*'ESTIMATIVA DE HORAS TÉCNICAS'!$F$944+'ESTIMATIVA DE HORAS TÉCNICAS'!L343*'ESTIMATIVA DE HORAS TÉCNICAS'!F$951+'ESTIMATIVA DE HORAS TÉCNICAS'!M343*'ESTIMATIVA DE HORAS TÉCNICAS'!F$950+'ESTIMATIVA DE HORAS TÉCNICAS'!N343*'ESTIMATIVA DE HORAS TÉCNICAS'!F$949+'ESTIMATIVA DE HORAS TÉCNICAS'!O343*'ESTIMATIVA DE HORAS TÉCNICAS'!F$948+'ESTIMATIVA DE HORAS TÉCNICAS'!P343*'ESTIMATIVA DE HORAS TÉCNICAS'!$F$947+'ESTIMATIVA DE HORAS TÉCNICAS'!Q343*'ESTIMATIVA DE HORAS TÉCNICAS'!F$953+'ESTIMATIVA DE HORAS TÉCNICAS'!R343*'ESTIMATIVA DE HORAS TÉCNICAS'!F$954</f>
        <v>5183.9336975615406</v>
      </c>
      <c r="E340" s="411">
        <f>'CALCULO DO FATO K'!D$10</f>
        <v>2.3175723620309046</v>
      </c>
      <c r="F340" s="714"/>
      <c r="G340" s="714"/>
      <c r="H340" s="411">
        <f t="shared" si="10"/>
        <v>12014.1414640693</v>
      </c>
      <c r="I340" s="416"/>
      <c r="J340" s="767"/>
    </row>
    <row r="341" spans="1:10" ht="15.75">
      <c r="A341" s="426" t="s">
        <v>382</v>
      </c>
      <c r="B341" s="428" t="s">
        <v>139</v>
      </c>
      <c r="C341" s="409"/>
      <c r="D341" s="787">
        <f>'ESTIMATIVA DE HORAS TÉCNICAS'!F344*'ESTIMATIVA DE HORAS TÉCNICAS'!F$943+'ESTIMATIVA DE HORAS TÉCNICAS'!G344*'ESTIMATIVA DE HORAS TÉCNICAS'!F$942+'ESTIMATIVA DE HORAS TÉCNICAS'!H344*'ESTIMATIVA DE HORAS TÉCNICAS'!F$941+'ESTIMATIVA DE HORAS TÉCNICAS'!I344*'ESTIMATIVA DE HORAS TÉCNICAS'!F$945+'ESTIMATIVA DE HORAS TÉCNICAS'!J344*'ESTIMATIVA DE HORAS TÉCNICAS'!F$946+'ESTIMATIVA DE HORAS TÉCNICAS'!K344*'ESTIMATIVA DE HORAS TÉCNICAS'!$F$944+'ESTIMATIVA DE HORAS TÉCNICAS'!L344*'ESTIMATIVA DE HORAS TÉCNICAS'!F$951+'ESTIMATIVA DE HORAS TÉCNICAS'!M344*'ESTIMATIVA DE HORAS TÉCNICAS'!F$950+'ESTIMATIVA DE HORAS TÉCNICAS'!N344*'ESTIMATIVA DE HORAS TÉCNICAS'!F$949+'ESTIMATIVA DE HORAS TÉCNICAS'!O344*'ESTIMATIVA DE HORAS TÉCNICAS'!F$948+'ESTIMATIVA DE HORAS TÉCNICAS'!P344*'ESTIMATIVA DE HORAS TÉCNICAS'!$F$947+'ESTIMATIVA DE HORAS TÉCNICAS'!Q344*'ESTIMATIVA DE HORAS TÉCNICAS'!F$953+'ESTIMATIVA DE HORAS TÉCNICAS'!R344*'ESTIMATIVA DE HORAS TÉCNICAS'!F$954</f>
        <v>5183.9336975615406</v>
      </c>
      <c r="E341" s="411">
        <f>'CALCULO DO FATO K'!D$10</f>
        <v>2.3175723620309046</v>
      </c>
      <c r="F341" s="714"/>
      <c r="G341" s="714"/>
      <c r="H341" s="411">
        <f t="shared" si="10"/>
        <v>12014.1414640693</v>
      </c>
      <c r="I341" s="416"/>
      <c r="J341" s="767"/>
    </row>
    <row r="342" spans="1:10" ht="15.75">
      <c r="A342" s="426" t="s">
        <v>383</v>
      </c>
      <c r="B342" s="428" t="s">
        <v>105</v>
      </c>
      <c r="C342" s="409"/>
      <c r="D342" s="787">
        <f>'ESTIMATIVA DE HORAS TÉCNICAS'!F345*'ESTIMATIVA DE HORAS TÉCNICAS'!F$943+'ESTIMATIVA DE HORAS TÉCNICAS'!G345*'ESTIMATIVA DE HORAS TÉCNICAS'!F$942+'ESTIMATIVA DE HORAS TÉCNICAS'!H345*'ESTIMATIVA DE HORAS TÉCNICAS'!F$941+'ESTIMATIVA DE HORAS TÉCNICAS'!I345*'ESTIMATIVA DE HORAS TÉCNICAS'!F$945+'ESTIMATIVA DE HORAS TÉCNICAS'!J345*'ESTIMATIVA DE HORAS TÉCNICAS'!F$946+'ESTIMATIVA DE HORAS TÉCNICAS'!K345*'ESTIMATIVA DE HORAS TÉCNICAS'!$F$944+'ESTIMATIVA DE HORAS TÉCNICAS'!L345*'ESTIMATIVA DE HORAS TÉCNICAS'!F$951+'ESTIMATIVA DE HORAS TÉCNICAS'!M345*'ESTIMATIVA DE HORAS TÉCNICAS'!F$950+'ESTIMATIVA DE HORAS TÉCNICAS'!N345*'ESTIMATIVA DE HORAS TÉCNICAS'!F$949+'ESTIMATIVA DE HORAS TÉCNICAS'!O345*'ESTIMATIVA DE HORAS TÉCNICAS'!F$948+'ESTIMATIVA DE HORAS TÉCNICAS'!P345*'ESTIMATIVA DE HORAS TÉCNICAS'!$F$947+'ESTIMATIVA DE HORAS TÉCNICAS'!Q345*'ESTIMATIVA DE HORAS TÉCNICAS'!F$953+'ESTIMATIVA DE HORAS TÉCNICAS'!R345*'ESTIMATIVA DE HORAS TÉCNICAS'!F$954</f>
        <v>5183.9336975615406</v>
      </c>
      <c r="E342" s="411">
        <f>'CALCULO DO FATO K'!D$10</f>
        <v>2.3175723620309046</v>
      </c>
      <c r="F342" s="714"/>
      <c r="G342" s="714"/>
      <c r="H342" s="411">
        <f t="shared" si="10"/>
        <v>12014.1414640693</v>
      </c>
      <c r="I342" s="416"/>
      <c r="J342" s="767"/>
    </row>
    <row r="343" spans="1:10" ht="15.75">
      <c r="A343" s="426" t="s">
        <v>384</v>
      </c>
      <c r="B343" s="428" t="s">
        <v>142</v>
      </c>
      <c r="C343" s="409"/>
      <c r="D343" s="787">
        <f>'ESTIMATIVA DE HORAS TÉCNICAS'!F346*'ESTIMATIVA DE HORAS TÉCNICAS'!F$943+'ESTIMATIVA DE HORAS TÉCNICAS'!G346*'ESTIMATIVA DE HORAS TÉCNICAS'!F$942+'ESTIMATIVA DE HORAS TÉCNICAS'!H346*'ESTIMATIVA DE HORAS TÉCNICAS'!F$941+'ESTIMATIVA DE HORAS TÉCNICAS'!I346*'ESTIMATIVA DE HORAS TÉCNICAS'!F$945+'ESTIMATIVA DE HORAS TÉCNICAS'!J346*'ESTIMATIVA DE HORAS TÉCNICAS'!F$946+'ESTIMATIVA DE HORAS TÉCNICAS'!K346*'ESTIMATIVA DE HORAS TÉCNICAS'!$F$944+'ESTIMATIVA DE HORAS TÉCNICAS'!L346*'ESTIMATIVA DE HORAS TÉCNICAS'!F$951+'ESTIMATIVA DE HORAS TÉCNICAS'!M346*'ESTIMATIVA DE HORAS TÉCNICAS'!F$950+'ESTIMATIVA DE HORAS TÉCNICAS'!N346*'ESTIMATIVA DE HORAS TÉCNICAS'!F$949+'ESTIMATIVA DE HORAS TÉCNICAS'!O346*'ESTIMATIVA DE HORAS TÉCNICAS'!F$948+'ESTIMATIVA DE HORAS TÉCNICAS'!P346*'ESTIMATIVA DE HORAS TÉCNICAS'!$F$947+'ESTIMATIVA DE HORAS TÉCNICAS'!Q346*'ESTIMATIVA DE HORAS TÉCNICAS'!F$953+'ESTIMATIVA DE HORAS TÉCNICAS'!R346*'ESTIMATIVA DE HORAS TÉCNICAS'!F$954</f>
        <v>7775.9005463423091</v>
      </c>
      <c r="E343" s="411">
        <f>'CALCULO DO FATO K'!D$10</f>
        <v>2.3175723620309046</v>
      </c>
      <c r="F343" s="714"/>
      <c r="G343" s="714"/>
      <c r="H343" s="411">
        <f t="shared" si="10"/>
        <v>18021.212196103945</v>
      </c>
      <c r="I343" s="416"/>
      <c r="J343" s="767"/>
    </row>
    <row r="344" spans="1:10" s="318" customFormat="1" ht="15.75">
      <c r="A344" s="426" t="s">
        <v>385</v>
      </c>
      <c r="B344" s="428" t="s">
        <v>386</v>
      </c>
      <c r="C344" s="409"/>
      <c r="D344" s="787">
        <f>'ESTIMATIVA DE HORAS TÉCNICAS'!F347*'ESTIMATIVA DE HORAS TÉCNICAS'!F$943+'ESTIMATIVA DE HORAS TÉCNICAS'!G347*'ESTIMATIVA DE HORAS TÉCNICAS'!F$942+'ESTIMATIVA DE HORAS TÉCNICAS'!H347*'ESTIMATIVA DE HORAS TÉCNICAS'!F$941+'ESTIMATIVA DE HORAS TÉCNICAS'!I347*'ESTIMATIVA DE HORAS TÉCNICAS'!F$945+'ESTIMATIVA DE HORAS TÉCNICAS'!J347*'ESTIMATIVA DE HORAS TÉCNICAS'!F$946+'ESTIMATIVA DE HORAS TÉCNICAS'!K347*'ESTIMATIVA DE HORAS TÉCNICAS'!$F$944+'ESTIMATIVA DE HORAS TÉCNICAS'!L347*'ESTIMATIVA DE HORAS TÉCNICAS'!F$951+'ESTIMATIVA DE HORAS TÉCNICAS'!M347*'ESTIMATIVA DE HORAS TÉCNICAS'!F$950+'ESTIMATIVA DE HORAS TÉCNICAS'!N347*'ESTIMATIVA DE HORAS TÉCNICAS'!F$949+'ESTIMATIVA DE HORAS TÉCNICAS'!O347*'ESTIMATIVA DE HORAS TÉCNICAS'!F$948+'ESTIMATIVA DE HORAS TÉCNICAS'!P347*'ESTIMATIVA DE HORAS TÉCNICAS'!$F$947+'ESTIMATIVA DE HORAS TÉCNICAS'!Q347*'ESTIMATIVA DE HORAS TÉCNICAS'!F$953+'ESTIMATIVA DE HORAS TÉCNICAS'!R347*'ESTIMATIVA DE HORAS TÉCNICAS'!F$954</f>
        <v>5183.9336975615406</v>
      </c>
      <c r="E344" s="411">
        <f>'CALCULO DO FATO K'!D$10</f>
        <v>2.3175723620309046</v>
      </c>
      <c r="F344" s="714"/>
      <c r="G344" s="714"/>
      <c r="H344" s="411">
        <f t="shared" si="10"/>
        <v>12014.1414640693</v>
      </c>
      <c r="I344" s="416"/>
      <c r="J344" s="767"/>
    </row>
    <row r="345" spans="1:10" s="318" customFormat="1" ht="15.75">
      <c r="A345" s="426" t="s">
        <v>387</v>
      </c>
      <c r="B345" s="428" t="s">
        <v>388</v>
      </c>
      <c r="C345" s="409"/>
      <c r="D345" s="787">
        <f>'ESTIMATIVA DE HORAS TÉCNICAS'!F348*'ESTIMATIVA DE HORAS TÉCNICAS'!F$943+'ESTIMATIVA DE HORAS TÉCNICAS'!G348*'ESTIMATIVA DE HORAS TÉCNICAS'!F$942+'ESTIMATIVA DE HORAS TÉCNICAS'!H348*'ESTIMATIVA DE HORAS TÉCNICAS'!F$941+'ESTIMATIVA DE HORAS TÉCNICAS'!I348*'ESTIMATIVA DE HORAS TÉCNICAS'!F$945+'ESTIMATIVA DE HORAS TÉCNICAS'!J348*'ESTIMATIVA DE HORAS TÉCNICAS'!F$946+'ESTIMATIVA DE HORAS TÉCNICAS'!K348*'ESTIMATIVA DE HORAS TÉCNICAS'!$F$944+'ESTIMATIVA DE HORAS TÉCNICAS'!L348*'ESTIMATIVA DE HORAS TÉCNICAS'!F$951+'ESTIMATIVA DE HORAS TÉCNICAS'!M348*'ESTIMATIVA DE HORAS TÉCNICAS'!F$950+'ESTIMATIVA DE HORAS TÉCNICAS'!N348*'ESTIMATIVA DE HORAS TÉCNICAS'!F$949+'ESTIMATIVA DE HORAS TÉCNICAS'!O348*'ESTIMATIVA DE HORAS TÉCNICAS'!F$948+'ESTIMATIVA DE HORAS TÉCNICAS'!P348*'ESTIMATIVA DE HORAS TÉCNICAS'!$F$947+'ESTIMATIVA DE HORAS TÉCNICAS'!Q348*'ESTIMATIVA DE HORAS TÉCNICAS'!F$953+'ESTIMATIVA DE HORAS TÉCNICAS'!R348*'ESTIMATIVA DE HORAS TÉCNICAS'!F$954</f>
        <v>5183.9336975615406</v>
      </c>
      <c r="E345" s="411">
        <f>'CALCULO DO FATO K'!D$10</f>
        <v>2.3175723620309046</v>
      </c>
      <c r="F345" s="714"/>
      <c r="G345" s="714"/>
      <c r="H345" s="411">
        <f t="shared" si="10"/>
        <v>12014.1414640693</v>
      </c>
      <c r="I345" s="416"/>
      <c r="J345" s="767"/>
    </row>
    <row r="346" spans="1:10" ht="15.75">
      <c r="A346" s="426" t="s">
        <v>389</v>
      </c>
      <c r="B346" s="768" t="s">
        <v>150</v>
      </c>
      <c r="C346" s="409"/>
      <c r="D346" s="787">
        <f>'ESTIMATIVA DE HORAS TÉCNICAS'!F349*'ESTIMATIVA DE HORAS TÉCNICAS'!F$943+'ESTIMATIVA DE HORAS TÉCNICAS'!G349*'ESTIMATIVA DE HORAS TÉCNICAS'!F$942+'ESTIMATIVA DE HORAS TÉCNICAS'!H349*'ESTIMATIVA DE HORAS TÉCNICAS'!F$941+'ESTIMATIVA DE HORAS TÉCNICAS'!I349*'ESTIMATIVA DE HORAS TÉCNICAS'!F$945+'ESTIMATIVA DE HORAS TÉCNICAS'!J349*'ESTIMATIVA DE HORAS TÉCNICAS'!F$946+'ESTIMATIVA DE HORAS TÉCNICAS'!K349*'ESTIMATIVA DE HORAS TÉCNICAS'!$F$944+'ESTIMATIVA DE HORAS TÉCNICAS'!L349*'ESTIMATIVA DE HORAS TÉCNICAS'!F$951+'ESTIMATIVA DE HORAS TÉCNICAS'!M349*'ESTIMATIVA DE HORAS TÉCNICAS'!F$950+'ESTIMATIVA DE HORAS TÉCNICAS'!N349*'ESTIMATIVA DE HORAS TÉCNICAS'!F$949+'ESTIMATIVA DE HORAS TÉCNICAS'!O349*'ESTIMATIVA DE HORAS TÉCNICAS'!F$948+'ESTIMATIVA DE HORAS TÉCNICAS'!P349*'ESTIMATIVA DE HORAS TÉCNICAS'!$F$947+'ESTIMATIVA DE HORAS TÉCNICAS'!Q349*'ESTIMATIVA DE HORAS TÉCNICAS'!F$953+'ESTIMATIVA DE HORAS TÉCNICAS'!R349*'ESTIMATIVA DE HORAS TÉCNICAS'!F$954</f>
        <v>5183.9336975615406</v>
      </c>
      <c r="E346" s="411">
        <f>'CALCULO DO FATO K'!D$10</f>
        <v>2.3175723620309046</v>
      </c>
      <c r="F346" s="714"/>
      <c r="G346" s="714"/>
      <c r="H346" s="411">
        <f t="shared" si="10"/>
        <v>12014.1414640693</v>
      </c>
      <c r="I346" s="416">
        <f>SUM(H338:H346)</f>
        <v>120141.41464069298</v>
      </c>
      <c r="J346" s="767"/>
    </row>
    <row r="347" spans="1:10" s="532" customFormat="1" ht="15.75">
      <c r="A347" s="426"/>
      <c r="B347" s="768"/>
      <c r="C347" s="409"/>
      <c r="D347" s="787"/>
      <c r="E347" s="411"/>
      <c r="F347" s="714"/>
      <c r="G347" s="714"/>
      <c r="H347" s="411"/>
      <c r="I347" s="416"/>
      <c r="J347" s="767"/>
    </row>
    <row r="348" spans="1:10" ht="15.75">
      <c r="A348" s="426"/>
      <c r="B348" s="768"/>
      <c r="C348" s="409"/>
      <c r="D348" s="787"/>
      <c r="E348" s="714"/>
      <c r="F348" s="714"/>
      <c r="G348" s="714"/>
      <c r="H348" s="714"/>
      <c r="I348" s="416"/>
      <c r="J348" s="767"/>
    </row>
    <row r="349" spans="1:10" s="318" customFormat="1" ht="31.5">
      <c r="A349" s="852" t="s">
        <v>390</v>
      </c>
      <c r="B349" s="660" t="s">
        <v>391</v>
      </c>
      <c r="C349" s="474"/>
      <c r="D349" s="480"/>
      <c r="E349" s="475"/>
      <c r="F349" s="475"/>
      <c r="G349" s="475"/>
      <c r="H349" s="475"/>
      <c r="I349" s="476"/>
      <c r="J349" s="767"/>
    </row>
    <row r="350" spans="1:10" s="318" customFormat="1" ht="15.75">
      <c r="A350" s="426" t="s">
        <v>392</v>
      </c>
      <c r="B350" s="428" t="s">
        <v>326</v>
      </c>
      <c r="C350" s="409"/>
      <c r="D350" s="787">
        <f>'ESTIMATIVA DE HORAS TÉCNICAS'!F353*'ESTIMATIVA DE HORAS TÉCNICAS'!F$943+'ESTIMATIVA DE HORAS TÉCNICAS'!G353*'ESTIMATIVA DE HORAS TÉCNICAS'!F$942+'ESTIMATIVA DE HORAS TÉCNICAS'!H353*'ESTIMATIVA DE HORAS TÉCNICAS'!F$941+'ESTIMATIVA DE HORAS TÉCNICAS'!I353*'ESTIMATIVA DE HORAS TÉCNICAS'!F$945+'ESTIMATIVA DE HORAS TÉCNICAS'!J353*'ESTIMATIVA DE HORAS TÉCNICAS'!F$946+'ESTIMATIVA DE HORAS TÉCNICAS'!K353*'ESTIMATIVA DE HORAS TÉCNICAS'!$F$944+'ESTIMATIVA DE HORAS TÉCNICAS'!L353*'ESTIMATIVA DE HORAS TÉCNICAS'!F$951+'ESTIMATIVA DE HORAS TÉCNICAS'!M353*'ESTIMATIVA DE HORAS TÉCNICAS'!F$950+'ESTIMATIVA DE HORAS TÉCNICAS'!N353*'ESTIMATIVA DE HORAS TÉCNICAS'!F$949+'ESTIMATIVA DE HORAS TÉCNICAS'!O353*'ESTIMATIVA DE HORAS TÉCNICAS'!F$948+'ESTIMATIVA DE HORAS TÉCNICAS'!P353*'ESTIMATIVA DE HORAS TÉCNICAS'!$F$947+'ESTIMATIVA DE HORAS TÉCNICAS'!Q353*'ESTIMATIVA DE HORAS TÉCNICAS'!F$953+'ESTIMATIVA DE HORAS TÉCNICAS'!R353*'ESTIMATIVA DE HORAS TÉCNICAS'!F$954</f>
        <v>3672.6711862937709</v>
      </c>
      <c r="E350" s="411">
        <f>'CALCULO DO FATO K'!D$10</f>
        <v>2.3175723620309046</v>
      </c>
      <c r="F350" s="714"/>
      <c r="G350" s="714"/>
      <c r="H350" s="411">
        <f t="shared" ref="H350:H359" si="11">D350*E350</f>
        <v>8511.6812361816992</v>
      </c>
      <c r="I350" s="416"/>
      <c r="J350" s="767"/>
    </row>
    <row r="351" spans="1:10" s="318" customFormat="1" ht="15.75">
      <c r="A351" s="426" t="s">
        <v>393</v>
      </c>
      <c r="B351" s="428" t="s">
        <v>135</v>
      </c>
      <c r="C351" s="409"/>
      <c r="D351" s="787">
        <f>'ESTIMATIVA DE HORAS TÉCNICAS'!F354*'ESTIMATIVA DE HORAS TÉCNICAS'!F$943+'ESTIMATIVA DE HORAS TÉCNICAS'!G354*'ESTIMATIVA DE HORAS TÉCNICAS'!F$942+'ESTIMATIVA DE HORAS TÉCNICAS'!H354*'ESTIMATIVA DE HORAS TÉCNICAS'!F$941+'ESTIMATIVA DE HORAS TÉCNICAS'!I354*'ESTIMATIVA DE HORAS TÉCNICAS'!F$945+'ESTIMATIVA DE HORAS TÉCNICAS'!J354*'ESTIMATIVA DE HORAS TÉCNICAS'!F$946+'ESTIMATIVA DE HORAS TÉCNICAS'!K354*'ESTIMATIVA DE HORAS TÉCNICAS'!$F$944+'ESTIMATIVA DE HORAS TÉCNICAS'!L354*'ESTIMATIVA DE HORAS TÉCNICAS'!F$951+'ESTIMATIVA DE HORAS TÉCNICAS'!M354*'ESTIMATIVA DE HORAS TÉCNICAS'!F$950+'ESTIMATIVA DE HORAS TÉCNICAS'!N354*'ESTIMATIVA DE HORAS TÉCNICAS'!F$949+'ESTIMATIVA DE HORAS TÉCNICAS'!O354*'ESTIMATIVA DE HORAS TÉCNICAS'!F$948+'ESTIMATIVA DE HORAS TÉCNICAS'!P354*'ESTIMATIVA DE HORAS TÉCNICAS'!$F$947+'ESTIMATIVA DE HORAS TÉCNICAS'!Q354*'ESTIMATIVA DE HORAS TÉCNICAS'!F$953+'ESTIMATIVA DE HORAS TÉCNICAS'!R354*'ESTIMATIVA DE HORAS TÉCNICAS'!F$954</f>
        <v>3672.6711862937709</v>
      </c>
      <c r="E351" s="411">
        <f>'CALCULO DO FATO K'!D$10</f>
        <v>2.3175723620309046</v>
      </c>
      <c r="F351" s="714"/>
      <c r="G351" s="714"/>
      <c r="H351" s="411">
        <f t="shared" si="11"/>
        <v>8511.6812361816992</v>
      </c>
      <c r="I351" s="416"/>
      <c r="J351" s="767"/>
    </row>
    <row r="352" spans="1:10" s="318" customFormat="1" ht="15.75">
      <c r="A352" s="426" t="s">
        <v>394</v>
      </c>
      <c r="B352" s="428" t="s">
        <v>137</v>
      </c>
      <c r="C352" s="409"/>
      <c r="D352" s="787">
        <f>'ESTIMATIVA DE HORAS TÉCNICAS'!F355*'ESTIMATIVA DE HORAS TÉCNICAS'!F$943+'ESTIMATIVA DE HORAS TÉCNICAS'!G355*'ESTIMATIVA DE HORAS TÉCNICAS'!F$942+'ESTIMATIVA DE HORAS TÉCNICAS'!H355*'ESTIMATIVA DE HORAS TÉCNICAS'!F$941+'ESTIMATIVA DE HORAS TÉCNICAS'!I355*'ESTIMATIVA DE HORAS TÉCNICAS'!F$945+'ESTIMATIVA DE HORAS TÉCNICAS'!J355*'ESTIMATIVA DE HORAS TÉCNICAS'!F$946+'ESTIMATIVA DE HORAS TÉCNICAS'!K355*'ESTIMATIVA DE HORAS TÉCNICAS'!$F$944+'ESTIMATIVA DE HORAS TÉCNICAS'!L355*'ESTIMATIVA DE HORAS TÉCNICAS'!F$951+'ESTIMATIVA DE HORAS TÉCNICAS'!M355*'ESTIMATIVA DE HORAS TÉCNICAS'!F$950+'ESTIMATIVA DE HORAS TÉCNICAS'!N355*'ESTIMATIVA DE HORAS TÉCNICAS'!F$949+'ESTIMATIVA DE HORAS TÉCNICAS'!O355*'ESTIMATIVA DE HORAS TÉCNICAS'!F$948+'ESTIMATIVA DE HORAS TÉCNICAS'!P355*'ESTIMATIVA DE HORAS TÉCNICAS'!$F$947+'ESTIMATIVA DE HORAS TÉCNICAS'!Q355*'ESTIMATIVA DE HORAS TÉCNICAS'!F$953+'ESTIMATIVA DE HORAS TÉCNICAS'!R355*'ESTIMATIVA DE HORAS TÉCNICAS'!F$954</f>
        <v>3672.6711862937709</v>
      </c>
      <c r="E352" s="411">
        <f>'CALCULO DO FATO K'!D$10</f>
        <v>2.3175723620309046</v>
      </c>
      <c r="F352" s="714"/>
      <c r="G352" s="714"/>
      <c r="H352" s="411">
        <f t="shared" si="11"/>
        <v>8511.6812361816992</v>
      </c>
      <c r="I352" s="416"/>
      <c r="J352" s="767"/>
    </row>
    <row r="353" spans="1:10" s="318" customFormat="1" ht="15.75">
      <c r="A353" s="426" t="s">
        <v>395</v>
      </c>
      <c r="B353" s="428" t="s">
        <v>139</v>
      </c>
      <c r="C353" s="409"/>
      <c r="D353" s="787">
        <f>'ESTIMATIVA DE HORAS TÉCNICAS'!F356*'ESTIMATIVA DE HORAS TÉCNICAS'!F$943+'ESTIMATIVA DE HORAS TÉCNICAS'!G356*'ESTIMATIVA DE HORAS TÉCNICAS'!F$942+'ESTIMATIVA DE HORAS TÉCNICAS'!H356*'ESTIMATIVA DE HORAS TÉCNICAS'!F$941+'ESTIMATIVA DE HORAS TÉCNICAS'!I356*'ESTIMATIVA DE HORAS TÉCNICAS'!F$945+'ESTIMATIVA DE HORAS TÉCNICAS'!J356*'ESTIMATIVA DE HORAS TÉCNICAS'!F$946+'ESTIMATIVA DE HORAS TÉCNICAS'!K356*'ESTIMATIVA DE HORAS TÉCNICAS'!$F$944+'ESTIMATIVA DE HORAS TÉCNICAS'!L356*'ESTIMATIVA DE HORAS TÉCNICAS'!F$951+'ESTIMATIVA DE HORAS TÉCNICAS'!M356*'ESTIMATIVA DE HORAS TÉCNICAS'!F$950+'ESTIMATIVA DE HORAS TÉCNICAS'!N356*'ESTIMATIVA DE HORAS TÉCNICAS'!F$949+'ESTIMATIVA DE HORAS TÉCNICAS'!O356*'ESTIMATIVA DE HORAS TÉCNICAS'!F$948+'ESTIMATIVA DE HORAS TÉCNICAS'!P356*'ESTIMATIVA DE HORAS TÉCNICAS'!$F$947+'ESTIMATIVA DE HORAS TÉCNICAS'!Q356*'ESTIMATIVA DE HORAS TÉCNICAS'!F$953+'ESTIMATIVA DE HORAS TÉCNICAS'!R356*'ESTIMATIVA DE HORAS TÉCNICAS'!F$954</f>
        <v>3672.6711862937709</v>
      </c>
      <c r="E353" s="411">
        <f>'CALCULO DO FATO K'!D$10</f>
        <v>2.3175723620309046</v>
      </c>
      <c r="F353" s="714"/>
      <c r="G353" s="714"/>
      <c r="H353" s="411">
        <f t="shared" si="11"/>
        <v>8511.6812361816992</v>
      </c>
      <c r="I353" s="416"/>
      <c r="J353" s="767"/>
    </row>
    <row r="354" spans="1:10" s="318" customFormat="1" ht="15.75">
      <c r="A354" s="426" t="s">
        <v>396</v>
      </c>
      <c r="B354" s="428" t="s">
        <v>105</v>
      </c>
      <c r="C354" s="409"/>
      <c r="D354" s="787">
        <f>'ESTIMATIVA DE HORAS TÉCNICAS'!F357*'ESTIMATIVA DE HORAS TÉCNICAS'!F$943+'ESTIMATIVA DE HORAS TÉCNICAS'!G357*'ESTIMATIVA DE HORAS TÉCNICAS'!F$942+'ESTIMATIVA DE HORAS TÉCNICAS'!H357*'ESTIMATIVA DE HORAS TÉCNICAS'!F$941+'ESTIMATIVA DE HORAS TÉCNICAS'!I357*'ESTIMATIVA DE HORAS TÉCNICAS'!F$945+'ESTIMATIVA DE HORAS TÉCNICAS'!J357*'ESTIMATIVA DE HORAS TÉCNICAS'!F$946+'ESTIMATIVA DE HORAS TÉCNICAS'!K357*'ESTIMATIVA DE HORAS TÉCNICAS'!$F$944+'ESTIMATIVA DE HORAS TÉCNICAS'!L357*'ESTIMATIVA DE HORAS TÉCNICAS'!F$951+'ESTIMATIVA DE HORAS TÉCNICAS'!M357*'ESTIMATIVA DE HORAS TÉCNICAS'!F$950+'ESTIMATIVA DE HORAS TÉCNICAS'!N357*'ESTIMATIVA DE HORAS TÉCNICAS'!F$949+'ESTIMATIVA DE HORAS TÉCNICAS'!O357*'ESTIMATIVA DE HORAS TÉCNICAS'!F$948+'ESTIMATIVA DE HORAS TÉCNICAS'!P357*'ESTIMATIVA DE HORAS TÉCNICAS'!$F$947+'ESTIMATIVA DE HORAS TÉCNICAS'!Q357*'ESTIMATIVA DE HORAS TÉCNICAS'!F$953+'ESTIMATIVA DE HORAS TÉCNICAS'!R357*'ESTIMATIVA DE HORAS TÉCNICAS'!F$954</f>
        <v>3672.6711862937709</v>
      </c>
      <c r="E354" s="411">
        <f>'CALCULO DO FATO K'!D$10</f>
        <v>2.3175723620309046</v>
      </c>
      <c r="F354" s="714"/>
      <c r="G354" s="714"/>
      <c r="H354" s="411">
        <f t="shared" si="11"/>
        <v>8511.6812361816992</v>
      </c>
      <c r="I354" s="416"/>
      <c r="J354" s="767"/>
    </row>
    <row r="355" spans="1:10" s="318" customFormat="1" ht="15.75">
      <c r="A355" s="426" t="s">
        <v>397</v>
      </c>
      <c r="B355" s="428" t="s">
        <v>142</v>
      </c>
      <c r="C355" s="409"/>
      <c r="D355" s="787">
        <f>'ESTIMATIVA DE HORAS TÉCNICAS'!F358*'ESTIMATIVA DE HORAS TÉCNICAS'!F$943+'ESTIMATIVA DE HORAS TÉCNICAS'!G358*'ESTIMATIVA DE HORAS TÉCNICAS'!F$942+'ESTIMATIVA DE HORAS TÉCNICAS'!H358*'ESTIMATIVA DE HORAS TÉCNICAS'!F$941+'ESTIMATIVA DE HORAS TÉCNICAS'!I358*'ESTIMATIVA DE HORAS TÉCNICAS'!F$945+'ESTIMATIVA DE HORAS TÉCNICAS'!J358*'ESTIMATIVA DE HORAS TÉCNICAS'!F$946+'ESTIMATIVA DE HORAS TÉCNICAS'!K358*'ESTIMATIVA DE HORAS TÉCNICAS'!$F$944+'ESTIMATIVA DE HORAS TÉCNICAS'!L358*'ESTIMATIVA DE HORAS TÉCNICAS'!F$951+'ESTIMATIVA DE HORAS TÉCNICAS'!M358*'ESTIMATIVA DE HORAS TÉCNICAS'!F$950+'ESTIMATIVA DE HORAS TÉCNICAS'!N358*'ESTIMATIVA DE HORAS TÉCNICAS'!F$949+'ESTIMATIVA DE HORAS TÉCNICAS'!O358*'ESTIMATIVA DE HORAS TÉCNICAS'!F$948+'ESTIMATIVA DE HORAS TÉCNICAS'!P358*'ESTIMATIVA DE HORAS TÉCNICAS'!$F$947+'ESTIMATIVA DE HORAS TÉCNICAS'!Q358*'ESTIMATIVA DE HORAS TÉCNICAS'!F$953+'ESTIMATIVA DE HORAS TÉCNICAS'!R358*'ESTIMATIVA DE HORAS TÉCNICAS'!F$954</f>
        <v>3672.6711862937709</v>
      </c>
      <c r="E355" s="411">
        <f>'CALCULO DO FATO K'!D$10</f>
        <v>2.3175723620309046</v>
      </c>
      <c r="F355" s="714"/>
      <c r="G355" s="714"/>
      <c r="H355" s="411">
        <f t="shared" si="11"/>
        <v>8511.6812361816992</v>
      </c>
      <c r="I355" s="416"/>
      <c r="J355" s="767"/>
    </row>
    <row r="356" spans="1:10" s="318" customFormat="1" ht="15.75">
      <c r="A356" s="426" t="s">
        <v>398</v>
      </c>
      <c r="B356" s="428" t="s">
        <v>399</v>
      </c>
      <c r="C356" s="409"/>
      <c r="D356" s="787">
        <f>'ESTIMATIVA DE HORAS TÉCNICAS'!F359*'ESTIMATIVA DE HORAS TÉCNICAS'!F$943+'ESTIMATIVA DE HORAS TÉCNICAS'!G359*'ESTIMATIVA DE HORAS TÉCNICAS'!F$942+'ESTIMATIVA DE HORAS TÉCNICAS'!H359*'ESTIMATIVA DE HORAS TÉCNICAS'!F$941+'ESTIMATIVA DE HORAS TÉCNICAS'!I359*'ESTIMATIVA DE HORAS TÉCNICAS'!F$945+'ESTIMATIVA DE HORAS TÉCNICAS'!J359*'ESTIMATIVA DE HORAS TÉCNICAS'!F$946+'ESTIMATIVA DE HORAS TÉCNICAS'!K359*'ESTIMATIVA DE HORAS TÉCNICAS'!$F$944+'ESTIMATIVA DE HORAS TÉCNICAS'!L359*'ESTIMATIVA DE HORAS TÉCNICAS'!F$951+'ESTIMATIVA DE HORAS TÉCNICAS'!M359*'ESTIMATIVA DE HORAS TÉCNICAS'!F$950+'ESTIMATIVA DE HORAS TÉCNICAS'!N359*'ESTIMATIVA DE HORAS TÉCNICAS'!F$949+'ESTIMATIVA DE HORAS TÉCNICAS'!O359*'ESTIMATIVA DE HORAS TÉCNICAS'!F$948+'ESTIMATIVA DE HORAS TÉCNICAS'!P359*'ESTIMATIVA DE HORAS TÉCNICAS'!$F$947+'ESTIMATIVA DE HORAS TÉCNICAS'!Q359*'ESTIMATIVA DE HORAS TÉCNICAS'!F$953+'ESTIMATIVA DE HORAS TÉCNICAS'!R359*'ESTIMATIVA DE HORAS TÉCNICAS'!F$954</f>
        <v>3672.6711862937709</v>
      </c>
      <c r="E356" s="411">
        <f>'CALCULO DO FATO K'!D$10</f>
        <v>2.3175723620309046</v>
      </c>
      <c r="F356" s="714"/>
      <c r="G356" s="714"/>
      <c r="H356" s="411">
        <f t="shared" si="11"/>
        <v>8511.6812361816992</v>
      </c>
      <c r="I356" s="416"/>
      <c r="J356" s="767"/>
    </row>
    <row r="357" spans="1:10" s="318" customFormat="1" ht="15.75">
      <c r="A357" s="426" t="s">
        <v>400</v>
      </c>
      <c r="B357" s="428" t="s">
        <v>388</v>
      </c>
      <c r="C357" s="409"/>
      <c r="D357" s="787">
        <f>'ESTIMATIVA DE HORAS TÉCNICAS'!F360*'ESTIMATIVA DE HORAS TÉCNICAS'!F$943+'ESTIMATIVA DE HORAS TÉCNICAS'!G360*'ESTIMATIVA DE HORAS TÉCNICAS'!F$942+'ESTIMATIVA DE HORAS TÉCNICAS'!H360*'ESTIMATIVA DE HORAS TÉCNICAS'!F$941+'ESTIMATIVA DE HORAS TÉCNICAS'!I360*'ESTIMATIVA DE HORAS TÉCNICAS'!F$945+'ESTIMATIVA DE HORAS TÉCNICAS'!J360*'ESTIMATIVA DE HORAS TÉCNICAS'!F$946+'ESTIMATIVA DE HORAS TÉCNICAS'!K360*'ESTIMATIVA DE HORAS TÉCNICAS'!$F$944+'ESTIMATIVA DE HORAS TÉCNICAS'!L360*'ESTIMATIVA DE HORAS TÉCNICAS'!F$951+'ESTIMATIVA DE HORAS TÉCNICAS'!M360*'ESTIMATIVA DE HORAS TÉCNICAS'!F$950+'ESTIMATIVA DE HORAS TÉCNICAS'!N360*'ESTIMATIVA DE HORAS TÉCNICAS'!F$949+'ESTIMATIVA DE HORAS TÉCNICAS'!O360*'ESTIMATIVA DE HORAS TÉCNICAS'!F$948+'ESTIMATIVA DE HORAS TÉCNICAS'!P360*'ESTIMATIVA DE HORAS TÉCNICAS'!$F$947+'ESTIMATIVA DE HORAS TÉCNICAS'!Q360*'ESTIMATIVA DE HORAS TÉCNICAS'!F$953+'ESTIMATIVA DE HORAS TÉCNICAS'!R360*'ESTIMATIVA DE HORAS TÉCNICAS'!F$954</f>
        <v>3672.6711862937709</v>
      </c>
      <c r="E357" s="411">
        <f>'CALCULO DO FATO K'!D$10</f>
        <v>2.3175723620309046</v>
      </c>
      <c r="F357" s="714"/>
      <c r="G357" s="714"/>
      <c r="H357" s="411">
        <f t="shared" si="11"/>
        <v>8511.6812361816992</v>
      </c>
      <c r="I357" s="416"/>
      <c r="J357" s="767"/>
    </row>
    <row r="358" spans="1:10" s="318" customFormat="1" ht="15.75">
      <c r="A358" s="426" t="s">
        <v>401</v>
      </c>
      <c r="B358" s="768" t="s">
        <v>150</v>
      </c>
      <c r="C358" s="409"/>
      <c r="D358" s="787">
        <f>'ESTIMATIVA DE HORAS TÉCNICAS'!F361*'ESTIMATIVA DE HORAS TÉCNICAS'!F$943+'ESTIMATIVA DE HORAS TÉCNICAS'!G361*'ESTIMATIVA DE HORAS TÉCNICAS'!F$942+'ESTIMATIVA DE HORAS TÉCNICAS'!H361*'ESTIMATIVA DE HORAS TÉCNICAS'!F$941+'ESTIMATIVA DE HORAS TÉCNICAS'!I361*'ESTIMATIVA DE HORAS TÉCNICAS'!F$945+'ESTIMATIVA DE HORAS TÉCNICAS'!J361*'ESTIMATIVA DE HORAS TÉCNICAS'!F$946+'ESTIMATIVA DE HORAS TÉCNICAS'!K361*'ESTIMATIVA DE HORAS TÉCNICAS'!$F$944+'ESTIMATIVA DE HORAS TÉCNICAS'!L361*'ESTIMATIVA DE HORAS TÉCNICAS'!F$951+'ESTIMATIVA DE HORAS TÉCNICAS'!M361*'ESTIMATIVA DE HORAS TÉCNICAS'!F$950+'ESTIMATIVA DE HORAS TÉCNICAS'!N361*'ESTIMATIVA DE HORAS TÉCNICAS'!F$949+'ESTIMATIVA DE HORAS TÉCNICAS'!O361*'ESTIMATIVA DE HORAS TÉCNICAS'!F$948+'ESTIMATIVA DE HORAS TÉCNICAS'!P361*'ESTIMATIVA DE HORAS TÉCNICAS'!$F$947+'ESTIMATIVA DE HORAS TÉCNICAS'!Q361*'ESTIMATIVA DE HORAS TÉCNICAS'!F$953+'ESTIMATIVA DE HORAS TÉCNICAS'!R361*'ESTIMATIVA DE HORAS TÉCNICAS'!F$954</f>
        <v>3672.6711862937709</v>
      </c>
      <c r="E358" s="411">
        <f>'CALCULO DO FATO K'!D$10</f>
        <v>2.3175723620309046</v>
      </c>
      <c r="F358" s="714"/>
      <c r="G358" s="714"/>
      <c r="H358" s="411">
        <f t="shared" si="11"/>
        <v>8511.6812361816992</v>
      </c>
      <c r="I358" s="416"/>
      <c r="J358" s="767"/>
    </row>
    <row r="359" spans="1:10" s="318" customFormat="1" ht="15.75">
      <c r="A359" s="426" t="s">
        <v>402</v>
      </c>
      <c r="B359" s="768" t="s">
        <v>152</v>
      </c>
      <c r="C359" s="409"/>
      <c r="D359" s="787">
        <f>'ESTIMATIVA DE HORAS TÉCNICAS'!F362*'ESTIMATIVA DE HORAS TÉCNICAS'!F$943+'ESTIMATIVA DE HORAS TÉCNICAS'!G362*'ESTIMATIVA DE HORAS TÉCNICAS'!F$942+'ESTIMATIVA DE HORAS TÉCNICAS'!H362*'ESTIMATIVA DE HORAS TÉCNICAS'!F$941+'ESTIMATIVA DE HORAS TÉCNICAS'!I362*'ESTIMATIVA DE HORAS TÉCNICAS'!F$945+'ESTIMATIVA DE HORAS TÉCNICAS'!J362*'ESTIMATIVA DE HORAS TÉCNICAS'!F$946+'ESTIMATIVA DE HORAS TÉCNICAS'!K362*'ESTIMATIVA DE HORAS TÉCNICAS'!$F$944+'ESTIMATIVA DE HORAS TÉCNICAS'!L362*'ESTIMATIVA DE HORAS TÉCNICAS'!F$951+'ESTIMATIVA DE HORAS TÉCNICAS'!M362*'ESTIMATIVA DE HORAS TÉCNICAS'!F$950+'ESTIMATIVA DE HORAS TÉCNICAS'!N362*'ESTIMATIVA DE HORAS TÉCNICAS'!F$949+'ESTIMATIVA DE HORAS TÉCNICAS'!O362*'ESTIMATIVA DE HORAS TÉCNICAS'!F$948+'ESTIMATIVA DE HORAS TÉCNICAS'!P362*'ESTIMATIVA DE HORAS TÉCNICAS'!$F$947+'ESTIMATIVA DE HORAS TÉCNICAS'!Q362*'ESTIMATIVA DE HORAS TÉCNICAS'!F$953+'ESTIMATIVA DE HORAS TÉCNICAS'!R362*'ESTIMATIVA DE HORAS TÉCNICAS'!F$954</f>
        <v>3672.6711862937709</v>
      </c>
      <c r="E359" s="411">
        <f>'CALCULO DO FATO K'!D$10</f>
        <v>2.3175723620309046</v>
      </c>
      <c r="F359" s="714"/>
      <c r="G359" s="714"/>
      <c r="H359" s="411">
        <f t="shared" si="11"/>
        <v>8511.6812361816992</v>
      </c>
      <c r="I359" s="416">
        <f>SUM(H350:H359)</f>
        <v>85116.812361816992</v>
      </c>
      <c r="J359" s="767"/>
    </row>
    <row r="360" spans="1:10" s="532" customFormat="1" ht="15.75">
      <c r="A360" s="426"/>
      <c r="B360" s="768"/>
      <c r="C360" s="409"/>
      <c r="D360" s="787"/>
      <c r="E360" s="411"/>
      <c r="F360" s="714"/>
      <c r="G360" s="714"/>
      <c r="H360" s="411"/>
      <c r="I360" s="416"/>
      <c r="J360" s="767"/>
    </row>
    <row r="361" spans="1:10" s="318" customFormat="1" ht="15.75">
      <c r="A361" s="426"/>
      <c r="B361" s="768"/>
      <c r="C361" s="409"/>
      <c r="D361" s="787"/>
      <c r="E361" s="714"/>
      <c r="F361" s="714"/>
      <c r="G361" s="714"/>
      <c r="H361" s="714"/>
      <c r="I361" s="416"/>
      <c r="J361" s="767"/>
    </row>
    <row r="362" spans="1:10" ht="15.75">
      <c r="A362" s="391" t="s">
        <v>403</v>
      </c>
      <c r="B362" s="427" t="s">
        <v>159</v>
      </c>
      <c r="C362" s="474"/>
      <c r="D362" s="480"/>
      <c r="E362" s="475"/>
      <c r="F362" s="475"/>
      <c r="G362" s="475"/>
      <c r="H362" s="475"/>
      <c r="I362" s="476"/>
      <c r="J362" s="767"/>
    </row>
    <row r="363" spans="1:10" ht="15.75">
      <c r="A363" s="426" t="s">
        <v>404</v>
      </c>
      <c r="B363" s="428" t="s">
        <v>326</v>
      </c>
      <c r="C363" s="409"/>
      <c r="D363" s="787">
        <f>'ESTIMATIVA DE HORAS TÉCNICAS'!F366*'ESTIMATIVA DE HORAS TÉCNICAS'!F$943+'ESTIMATIVA DE HORAS TÉCNICAS'!G366*'ESTIMATIVA DE HORAS TÉCNICAS'!F$942+'ESTIMATIVA DE HORAS TÉCNICAS'!H366*'ESTIMATIVA DE HORAS TÉCNICAS'!F$941+'ESTIMATIVA DE HORAS TÉCNICAS'!I366*'ESTIMATIVA DE HORAS TÉCNICAS'!F$945+'ESTIMATIVA DE HORAS TÉCNICAS'!J366*'ESTIMATIVA DE HORAS TÉCNICAS'!F$946+'ESTIMATIVA DE HORAS TÉCNICAS'!K366*'ESTIMATIVA DE HORAS TÉCNICAS'!$F$944+'ESTIMATIVA DE HORAS TÉCNICAS'!L366*'ESTIMATIVA DE HORAS TÉCNICAS'!F$951+'ESTIMATIVA DE HORAS TÉCNICAS'!M366*'ESTIMATIVA DE HORAS TÉCNICAS'!F$950+'ESTIMATIVA DE HORAS TÉCNICAS'!N366*'ESTIMATIVA DE HORAS TÉCNICAS'!F$949+'ESTIMATIVA DE HORAS TÉCNICAS'!O366*'ESTIMATIVA DE HORAS TÉCNICAS'!F$948+'ESTIMATIVA DE HORAS TÉCNICAS'!P366*'ESTIMATIVA DE HORAS TÉCNICAS'!$F$947+'ESTIMATIVA DE HORAS TÉCNICAS'!Q366*'ESTIMATIVA DE HORAS TÉCNICAS'!F$953+'ESTIMATIVA DE HORAS TÉCNICAS'!R366*'ESTIMATIVA DE HORAS TÉCNICAS'!F$954</f>
        <v>2084.6727187102738</v>
      </c>
      <c r="E363" s="411">
        <f>'CALCULO DO FATO K'!D$10</f>
        <v>2.3175723620309046</v>
      </c>
      <c r="F363" s="714"/>
      <c r="G363" s="714"/>
      <c r="H363" s="411">
        <f t="shared" ref="H363:H368" si="12">D363*E363</f>
        <v>4831.3798767627568</v>
      </c>
      <c r="I363" s="416"/>
      <c r="J363" s="767"/>
    </row>
    <row r="364" spans="1:10" ht="15.75">
      <c r="A364" s="426" t="s">
        <v>405</v>
      </c>
      <c r="B364" s="428" t="s">
        <v>135</v>
      </c>
      <c r="C364" s="409"/>
      <c r="D364" s="787">
        <f>'ESTIMATIVA DE HORAS TÉCNICAS'!F367*'ESTIMATIVA DE HORAS TÉCNICAS'!F$943+'ESTIMATIVA DE HORAS TÉCNICAS'!G367*'ESTIMATIVA DE HORAS TÉCNICAS'!F$942+'ESTIMATIVA DE HORAS TÉCNICAS'!H367*'ESTIMATIVA DE HORAS TÉCNICAS'!F$941+'ESTIMATIVA DE HORAS TÉCNICAS'!I367*'ESTIMATIVA DE HORAS TÉCNICAS'!F$945+'ESTIMATIVA DE HORAS TÉCNICAS'!J367*'ESTIMATIVA DE HORAS TÉCNICAS'!F$946+'ESTIMATIVA DE HORAS TÉCNICAS'!K367*'ESTIMATIVA DE HORAS TÉCNICAS'!$F$944+'ESTIMATIVA DE HORAS TÉCNICAS'!L367*'ESTIMATIVA DE HORAS TÉCNICAS'!F$951+'ESTIMATIVA DE HORAS TÉCNICAS'!M367*'ESTIMATIVA DE HORAS TÉCNICAS'!F$950+'ESTIMATIVA DE HORAS TÉCNICAS'!N367*'ESTIMATIVA DE HORAS TÉCNICAS'!F$949+'ESTIMATIVA DE HORAS TÉCNICAS'!O367*'ESTIMATIVA DE HORAS TÉCNICAS'!F$948+'ESTIMATIVA DE HORAS TÉCNICAS'!P367*'ESTIMATIVA DE HORAS TÉCNICAS'!$F$947+'ESTIMATIVA DE HORAS TÉCNICAS'!Q367*'ESTIMATIVA DE HORAS TÉCNICAS'!F$953+'ESTIMATIVA DE HORAS TÉCNICAS'!R367*'ESTIMATIVA DE HORAS TÉCNICAS'!F$954</f>
        <v>833.86908748410951</v>
      </c>
      <c r="E364" s="411">
        <f>'CALCULO DO FATO K'!D$10</f>
        <v>2.3175723620309046</v>
      </c>
      <c r="F364" s="714"/>
      <c r="G364" s="714"/>
      <c r="H364" s="411">
        <f t="shared" si="12"/>
        <v>1932.5519507051026</v>
      </c>
      <c r="I364" s="416"/>
      <c r="J364" s="767"/>
    </row>
    <row r="365" spans="1:10" ht="15.75">
      <c r="A365" s="426" t="s">
        <v>406</v>
      </c>
      <c r="B365" s="428" t="s">
        <v>137</v>
      </c>
      <c r="C365" s="409"/>
      <c r="D365" s="787">
        <f>'ESTIMATIVA DE HORAS TÉCNICAS'!F368*'ESTIMATIVA DE HORAS TÉCNICAS'!F$943+'ESTIMATIVA DE HORAS TÉCNICAS'!G368*'ESTIMATIVA DE HORAS TÉCNICAS'!F$942+'ESTIMATIVA DE HORAS TÉCNICAS'!H368*'ESTIMATIVA DE HORAS TÉCNICAS'!F$941+'ESTIMATIVA DE HORAS TÉCNICAS'!I368*'ESTIMATIVA DE HORAS TÉCNICAS'!F$945+'ESTIMATIVA DE HORAS TÉCNICAS'!J368*'ESTIMATIVA DE HORAS TÉCNICAS'!F$946+'ESTIMATIVA DE HORAS TÉCNICAS'!K368*'ESTIMATIVA DE HORAS TÉCNICAS'!$F$944+'ESTIMATIVA DE HORAS TÉCNICAS'!L368*'ESTIMATIVA DE HORAS TÉCNICAS'!F$951+'ESTIMATIVA DE HORAS TÉCNICAS'!M368*'ESTIMATIVA DE HORAS TÉCNICAS'!F$950+'ESTIMATIVA DE HORAS TÉCNICAS'!N368*'ESTIMATIVA DE HORAS TÉCNICAS'!F$949+'ESTIMATIVA DE HORAS TÉCNICAS'!O368*'ESTIMATIVA DE HORAS TÉCNICAS'!F$948+'ESTIMATIVA DE HORAS TÉCNICAS'!P368*'ESTIMATIVA DE HORAS TÉCNICAS'!$F$947+'ESTIMATIVA DE HORAS TÉCNICAS'!Q368*'ESTIMATIVA DE HORAS TÉCNICAS'!F$953+'ESTIMATIVA DE HORAS TÉCNICAS'!R368*'ESTIMATIVA DE HORAS TÉCNICAS'!F$954</f>
        <v>833.86908748410951</v>
      </c>
      <c r="E365" s="411">
        <f>'CALCULO DO FATO K'!D$10</f>
        <v>2.3175723620309046</v>
      </c>
      <c r="F365" s="714"/>
      <c r="G365" s="714"/>
      <c r="H365" s="411">
        <f t="shared" si="12"/>
        <v>1932.5519507051026</v>
      </c>
      <c r="I365" s="416"/>
      <c r="J365" s="767"/>
    </row>
    <row r="366" spans="1:10" ht="15.75">
      <c r="A366" s="426" t="s">
        <v>407</v>
      </c>
      <c r="B366" s="428" t="s">
        <v>105</v>
      </c>
      <c r="C366" s="409"/>
      <c r="D366" s="787">
        <f>'ESTIMATIVA DE HORAS TÉCNICAS'!F369*'ESTIMATIVA DE HORAS TÉCNICAS'!F$943+'ESTIMATIVA DE HORAS TÉCNICAS'!G369*'ESTIMATIVA DE HORAS TÉCNICAS'!F$942+'ESTIMATIVA DE HORAS TÉCNICAS'!H369*'ESTIMATIVA DE HORAS TÉCNICAS'!F$941+'ESTIMATIVA DE HORAS TÉCNICAS'!I369*'ESTIMATIVA DE HORAS TÉCNICAS'!F$945+'ESTIMATIVA DE HORAS TÉCNICAS'!J369*'ESTIMATIVA DE HORAS TÉCNICAS'!F$946+'ESTIMATIVA DE HORAS TÉCNICAS'!K369*'ESTIMATIVA DE HORAS TÉCNICAS'!$F$944+'ESTIMATIVA DE HORAS TÉCNICAS'!L369*'ESTIMATIVA DE HORAS TÉCNICAS'!F$951+'ESTIMATIVA DE HORAS TÉCNICAS'!M369*'ESTIMATIVA DE HORAS TÉCNICAS'!F$950+'ESTIMATIVA DE HORAS TÉCNICAS'!N369*'ESTIMATIVA DE HORAS TÉCNICAS'!F$949+'ESTIMATIVA DE HORAS TÉCNICAS'!O369*'ESTIMATIVA DE HORAS TÉCNICAS'!F$948+'ESTIMATIVA DE HORAS TÉCNICAS'!P369*'ESTIMATIVA DE HORAS TÉCNICAS'!$F$947+'ESTIMATIVA DE HORAS TÉCNICAS'!Q369*'ESTIMATIVA DE HORAS TÉCNICAS'!F$953+'ESTIMATIVA DE HORAS TÉCNICAS'!R369*'ESTIMATIVA DE HORAS TÉCNICAS'!F$954</f>
        <v>833.86908748410951</v>
      </c>
      <c r="E366" s="411">
        <f>'CALCULO DO FATO K'!D$10</f>
        <v>2.3175723620309046</v>
      </c>
      <c r="F366" s="714"/>
      <c r="G366" s="714"/>
      <c r="H366" s="411">
        <f t="shared" si="12"/>
        <v>1932.5519507051026</v>
      </c>
      <c r="I366" s="416"/>
      <c r="J366" s="767"/>
    </row>
    <row r="367" spans="1:10" ht="15.75">
      <c r="A367" s="426" t="s">
        <v>408</v>
      </c>
      <c r="B367" s="428" t="s">
        <v>142</v>
      </c>
      <c r="C367" s="409"/>
      <c r="D367" s="787">
        <f>'ESTIMATIVA DE HORAS TÉCNICAS'!F370*'ESTIMATIVA DE HORAS TÉCNICAS'!F$943+'ESTIMATIVA DE HORAS TÉCNICAS'!G370*'ESTIMATIVA DE HORAS TÉCNICAS'!F$942+'ESTIMATIVA DE HORAS TÉCNICAS'!H370*'ESTIMATIVA DE HORAS TÉCNICAS'!F$941+'ESTIMATIVA DE HORAS TÉCNICAS'!I370*'ESTIMATIVA DE HORAS TÉCNICAS'!F$945+'ESTIMATIVA DE HORAS TÉCNICAS'!J370*'ESTIMATIVA DE HORAS TÉCNICAS'!F$946+'ESTIMATIVA DE HORAS TÉCNICAS'!K370*'ESTIMATIVA DE HORAS TÉCNICAS'!$F$944+'ESTIMATIVA DE HORAS TÉCNICAS'!L370*'ESTIMATIVA DE HORAS TÉCNICAS'!F$951+'ESTIMATIVA DE HORAS TÉCNICAS'!M370*'ESTIMATIVA DE HORAS TÉCNICAS'!F$950+'ESTIMATIVA DE HORAS TÉCNICAS'!N370*'ESTIMATIVA DE HORAS TÉCNICAS'!F$949+'ESTIMATIVA DE HORAS TÉCNICAS'!O370*'ESTIMATIVA DE HORAS TÉCNICAS'!F$948+'ESTIMATIVA DE HORAS TÉCNICAS'!P370*'ESTIMATIVA DE HORAS TÉCNICAS'!$F$947+'ESTIMATIVA DE HORAS TÉCNICAS'!Q370*'ESTIMATIVA DE HORAS TÉCNICAS'!F$953+'ESTIMATIVA DE HORAS TÉCNICAS'!R370*'ESTIMATIVA DE HORAS TÉCNICAS'!F$954</f>
        <v>1667.738174968219</v>
      </c>
      <c r="E367" s="411">
        <f>'CALCULO DO FATO K'!D$10</f>
        <v>2.3175723620309046</v>
      </c>
      <c r="F367" s="714"/>
      <c r="G367" s="714"/>
      <c r="H367" s="411">
        <f t="shared" si="12"/>
        <v>3865.1039014102053</v>
      </c>
      <c r="I367" s="416"/>
      <c r="J367" s="767"/>
    </row>
    <row r="368" spans="1:10" ht="15.75">
      <c r="A368" s="426" t="s">
        <v>409</v>
      </c>
      <c r="B368" s="768" t="s">
        <v>150</v>
      </c>
      <c r="C368" s="409"/>
      <c r="D368" s="787">
        <f>'ESTIMATIVA DE HORAS TÉCNICAS'!F371*'ESTIMATIVA DE HORAS TÉCNICAS'!F$943+'ESTIMATIVA DE HORAS TÉCNICAS'!G371*'ESTIMATIVA DE HORAS TÉCNICAS'!F$942+'ESTIMATIVA DE HORAS TÉCNICAS'!H371*'ESTIMATIVA DE HORAS TÉCNICAS'!F$941+'ESTIMATIVA DE HORAS TÉCNICAS'!I371*'ESTIMATIVA DE HORAS TÉCNICAS'!F$945+'ESTIMATIVA DE HORAS TÉCNICAS'!J371*'ESTIMATIVA DE HORAS TÉCNICAS'!F$946+'ESTIMATIVA DE HORAS TÉCNICAS'!K371*'ESTIMATIVA DE HORAS TÉCNICAS'!$F$944+'ESTIMATIVA DE HORAS TÉCNICAS'!L371*'ESTIMATIVA DE HORAS TÉCNICAS'!F$951+'ESTIMATIVA DE HORAS TÉCNICAS'!M371*'ESTIMATIVA DE HORAS TÉCNICAS'!F$950+'ESTIMATIVA DE HORAS TÉCNICAS'!N371*'ESTIMATIVA DE HORAS TÉCNICAS'!F$949+'ESTIMATIVA DE HORAS TÉCNICAS'!O371*'ESTIMATIVA DE HORAS TÉCNICAS'!F$948+'ESTIMATIVA DE HORAS TÉCNICAS'!P371*'ESTIMATIVA DE HORAS TÉCNICAS'!$F$947+'ESTIMATIVA DE HORAS TÉCNICAS'!Q371*'ESTIMATIVA DE HORAS TÉCNICAS'!F$953+'ESTIMATIVA DE HORAS TÉCNICAS'!R371*'ESTIMATIVA DE HORAS TÉCNICAS'!F$954</f>
        <v>2084.6727187102738</v>
      </c>
      <c r="E368" s="411">
        <f>'CALCULO DO FATO K'!D$10</f>
        <v>2.3175723620309046</v>
      </c>
      <c r="F368" s="714"/>
      <c r="G368" s="714"/>
      <c r="H368" s="411">
        <f t="shared" si="12"/>
        <v>4831.3798767627568</v>
      </c>
      <c r="I368" s="416">
        <f>SUM(H363:H368)</f>
        <v>19325.519507051027</v>
      </c>
      <c r="J368" s="767"/>
    </row>
    <row r="369" spans="1:10" s="532" customFormat="1" ht="15.75">
      <c r="A369" s="426"/>
      <c r="B369" s="768"/>
      <c r="C369" s="409"/>
      <c r="D369" s="787"/>
      <c r="E369" s="411"/>
      <c r="F369" s="714"/>
      <c r="G369" s="714"/>
      <c r="H369" s="411"/>
      <c r="I369" s="416"/>
      <c r="J369" s="767"/>
    </row>
    <row r="370" spans="1:10" ht="15.75">
      <c r="A370" s="69"/>
      <c r="B370" s="768"/>
      <c r="C370" s="409"/>
      <c r="D370" s="787"/>
      <c r="E370" s="714"/>
      <c r="F370" s="714"/>
      <c r="G370" s="714"/>
      <c r="H370" s="714"/>
      <c r="I370" s="416"/>
      <c r="J370" s="767"/>
    </row>
    <row r="371" spans="1:10" ht="15.75">
      <c r="A371" s="391" t="s">
        <v>410</v>
      </c>
      <c r="B371" s="427" t="s">
        <v>164</v>
      </c>
      <c r="C371" s="474"/>
      <c r="D371" s="480"/>
      <c r="E371" s="475"/>
      <c r="F371" s="475"/>
      <c r="G371" s="475"/>
      <c r="H371" s="475"/>
      <c r="I371" s="476"/>
      <c r="J371" s="767"/>
    </row>
    <row r="372" spans="1:10" s="368" customFormat="1" ht="15.75">
      <c r="A372" s="433" t="s">
        <v>411</v>
      </c>
      <c r="B372" s="428" t="s">
        <v>112</v>
      </c>
      <c r="C372" s="409"/>
      <c r="D372" s="787">
        <f>'ESTIMATIVA DE HORAS TÉCNICAS'!F375*'ESTIMATIVA DE HORAS TÉCNICAS'!F$943+'ESTIMATIVA DE HORAS TÉCNICAS'!G375*'ESTIMATIVA DE HORAS TÉCNICAS'!F$942+'ESTIMATIVA DE HORAS TÉCNICAS'!H375*'ESTIMATIVA DE HORAS TÉCNICAS'!F$941+'ESTIMATIVA DE HORAS TÉCNICAS'!I375*'ESTIMATIVA DE HORAS TÉCNICAS'!F$945+'ESTIMATIVA DE HORAS TÉCNICAS'!J375*'ESTIMATIVA DE HORAS TÉCNICAS'!F$946+'ESTIMATIVA DE HORAS TÉCNICAS'!K375*'ESTIMATIVA DE HORAS TÉCNICAS'!$F$944+'ESTIMATIVA DE HORAS TÉCNICAS'!L375*'ESTIMATIVA DE HORAS TÉCNICAS'!F$951+'ESTIMATIVA DE HORAS TÉCNICAS'!M375*'ESTIMATIVA DE HORAS TÉCNICAS'!F$950+'ESTIMATIVA DE HORAS TÉCNICAS'!N375*'ESTIMATIVA DE HORAS TÉCNICAS'!F$949+'ESTIMATIVA DE HORAS TÉCNICAS'!O375*'ESTIMATIVA DE HORAS TÉCNICAS'!F$948+'ESTIMATIVA DE HORAS TÉCNICAS'!P375*'ESTIMATIVA DE HORAS TÉCNICAS'!$F$947+'ESTIMATIVA DE HORAS TÉCNICAS'!Q375*'ESTIMATIVA DE HORAS TÉCNICAS'!F$953+'ESTIMATIVA DE HORAS TÉCNICAS'!R375*'ESTIMATIVA DE HORAS TÉCNICAS'!F$954</f>
        <v>5498.1985080318964</v>
      </c>
      <c r="E372" s="411">
        <f>'CALCULO DO FATO K'!D$10</f>
        <v>2.3175723620309046</v>
      </c>
      <c r="F372" s="714"/>
      <c r="G372" s="714"/>
      <c r="H372" s="411">
        <f>D372*E372</f>
        <v>12742.472903174277</v>
      </c>
      <c r="I372" s="416"/>
      <c r="J372" s="767"/>
    </row>
    <row r="373" spans="1:10" ht="15.75">
      <c r="A373" s="433" t="s">
        <v>412</v>
      </c>
      <c r="B373" s="658" t="s">
        <v>167</v>
      </c>
      <c r="C373" s="409"/>
      <c r="D373" s="787">
        <f>'ESTIMATIVA DE HORAS TÉCNICAS'!F376*'ESTIMATIVA DE HORAS TÉCNICAS'!F$943+'ESTIMATIVA DE HORAS TÉCNICAS'!G376*'ESTIMATIVA DE HORAS TÉCNICAS'!F$942+'ESTIMATIVA DE HORAS TÉCNICAS'!H376*'ESTIMATIVA DE HORAS TÉCNICAS'!F$941+'ESTIMATIVA DE HORAS TÉCNICAS'!I376*'ESTIMATIVA DE HORAS TÉCNICAS'!F$945+'ESTIMATIVA DE HORAS TÉCNICAS'!J376*'ESTIMATIVA DE HORAS TÉCNICAS'!F$946+'ESTIMATIVA DE HORAS TÉCNICAS'!K376*'ESTIMATIVA DE HORAS TÉCNICAS'!$F$944+'ESTIMATIVA DE HORAS TÉCNICAS'!L376*'ESTIMATIVA DE HORAS TÉCNICAS'!F$951+'ESTIMATIVA DE HORAS TÉCNICAS'!M376*'ESTIMATIVA DE HORAS TÉCNICAS'!F$950+'ESTIMATIVA DE HORAS TÉCNICAS'!N376*'ESTIMATIVA DE HORAS TÉCNICAS'!F$949+'ESTIMATIVA DE HORAS TÉCNICAS'!O376*'ESTIMATIVA DE HORAS TÉCNICAS'!F$948+'ESTIMATIVA DE HORAS TÉCNICAS'!P376*'ESTIMATIVA DE HORAS TÉCNICAS'!$F$947+'ESTIMATIVA DE HORAS TÉCNICAS'!Q376*'ESTIMATIVA DE HORAS TÉCNICAS'!F$953+'ESTIMATIVA DE HORAS TÉCNICAS'!R376*'ESTIMATIVA DE HORAS TÉCNICAS'!F$954</f>
        <v>5498.1985080318964</v>
      </c>
      <c r="E373" s="411">
        <f>'CALCULO DO FATO K'!D$10</f>
        <v>2.3175723620309046</v>
      </c>
      <c r="F373" s="714"/>
      <c r="G373" s="714"/>
      <c r="H373" s="411">
        <f t="shared" ref="H373:H378" si="13">D373*E373</f>
        <v>12742.472903174277</v>
      </c>
      <c r="I373" s="416"/>
      <c r="J373" s="767"/>
    </row>
    <row r="374" spans="1:10" ht="15.75">
      <c r="A374" s="433" t="s">
        <v>413</v>
      </c>
      <c r="B374" s="428" t="s">
        <v>169</v>
      </c>
      <c r="C374" s="409"/>
      <c r="D374" s="787">
        <f>'ESTIMATIVA DE HORAS TÉCNICAS'!F377*'ESTIMATIVA DE HORAS TÉCNICAS'!F$943+'ESTIMATIVA DE HORAS TÉCNICAS'!G377*'ESTIMATIVA DE HORAS TÉCNICAS'!F$942+'ESTIMATIVA DE HORAS TÉCNICAS'!H377*'ESTIMATIVA DE HORAS TÉCNICAS'!F$941+'ESTIMATIVA DE HORAS TÉCNICAS'!I377*'ESTIMATIVA DE HORAS TÉCNICAS'!F$945+'ESTIMATIVA DE HORAS TÉCNICAS'!J377*'ESTIMATIVA DE HORAS TÉCNICAS'!F$946+'ESTIMATIVA DE HORAS TÉCNICAS'!K377*'ESTIMATIVA DE HORAS TÉCNICAS'!$F$944+'ESTIMATIVA DE HORAS TÉCNICAS'!L377*'ESTIMATIVA DE HORAS TÉCNICAS'!F$951+'ESTIMATIVA DE HORAS TÉCNICAS'!M377*'ESTIMATIVA DE HORAS TÉCNICAS'!F$950+'ESTIMATIVA DE HORAS TÉCNICAS'!N377*'ESTIMATIVA DE HORAS TÉCNICAS'!F$949+'ESTIMATIVA DE HORAS TÉCNICAS'!O377*'ESTIMATIVA DE HORAS TÉCNICAS'!F$948+'ESTIMATIVA DE HORAS TÉCNICAS'!P377*'ESTIMATIVA DE HORAS TÉCNICAS'!$F$947+'ESTIMATIVA DE HORAS TÉCNICAS'!Q377*'ESTIMATIVA DE HORAS TÉCNICAS'!F$953+'ESTIMATIVA DE HORAS TÉCNICAS'!R377*'ESTIMATIVA DE HORAS TÉCNICAS'!F$954</f>
        <v>5498.1985080318964</v>
      </c>
      <c r="E374" s="411">
        <f>'CALCULO DO FATO K'!D$10</f>
        <v>2.3175723620309046</v>
      </c>
      <c r="F374" s="714"/>
      <c r="G374" s="714"/>
      <c r="H374" s="411">
        <f t="shared" si="13"/>
        <v>12742.472903174277</v>
      </c>
      <c r="I374" s="416"/>
      <c r="J374" s="767"/>
    </row>
    <row r="375" spans="1:10" s="368" customFormat="1" ht="15.75">
      <c r="A375" s="433" t="s">
        <v>414</v>
      </c>
      <c r="B375" s="428" t="s">
        <v>173</v>
      </c>
      <c r="C375" s="409"/>
      <c r="D375" s="787">
        <f>'ESTIMATIVA DE HORAS TÉCNICAS'!F378*'ESTIMATIVA DE HORAS TÉCNICAS'!F$943+'ESTIMATIVA DE HORAS TÉCNICAS'!G378*'ESTIMATIVA DE HORAS TÉCNICAS'!F$942+'ESTIMATIVA DE HORAS TÉCNICAS'!H378*'ESTIMATIVA DE HORAS TÉCNICAS'!F$941+'ESTIMATIVA DE HORAS TÉCNICAS'!I378*'ESTIMATIVA DE HORAS TÉCNICAS'!F$945+'ESTIMATIVA DE HORAS TÉCNICAS'!J378*'ESTIMATIVA DE HORAS TÉCNICAS'!F$946+'ESTIMATIVA DE HORAS TÉCNICAS'!K378*'ESTIMATIVA DE HORAS TÉCNICAS'!$F$944+'ESTIMATIVA DE HORAS TÉCNICAS'!L378*'ESTIMATIVA DE HORAS TÉCNICAS'!F$951+'ESTIMATIVA DE HORAS TÉCNICAS'!M378*'ESTIMATIVA DE HORAS TÉCNICAS'!F$950+'ESTIMATIVA DE HORAS TÉCNICAS'!N378*'ESTIMATIVA DE HORAS TÉCNICAS'!F$949+'ESTIMATIVA DE HORAS TÉCNICAS'!O378*'ESTIMATIVA DE HORAS TÉCNICAS'!F$948+'ESTIMATIVA DE HORAS TÉCNICAS'!P378*'ESTIMATIVA DE HORAS TÉCNICAS'!$F$947+'ESTIMATIVA DE HORAS TÉCNICAS'!Q378*'ESTIMATIVA DE HORAS TÉCNICAS'!F$953+'ESTIMATIVA DE HORAS TÉCNICAS'!R378*'ESTIMATIVA DE HORAS TÉCNICAS'!F$954</f>
        <v>5498.1985080318964</v>
      </c>
      <c r="E375" s="411">
        <f>'CALCULO DO FATO K'!D$10</f>
        <v>2.3175723620309046</v>
      </c>
      <c r="F375" s="714"/>
      <c r="G375" s="714"/>
      <c r="H375" s="411">
        <f t="shared" si="13"/>
        <v>12742.472903174277</v>
      </c>
      <c r="I375" s="416"/>
      <c r="J375" s="767"/>
    </row>
    <row r="376" spans="1:10" ht="15.75">
      <c r="A376" s="433" t="s">
        <v>415</v>
      </c>
      <c r="B376" s="428" t="s">
        <v>142</v>
      </c>
      <c r="C376" s="409"/>
      <c r="D376" s="787">
        <f>'ESTIMATIVA DE HORAS TÉCNICAS'!F379*'ESTIMATIVA DE HORAS TÉCNICAS'!F$943+'ESTIMATIVA DE HORAS TÉCNICAS'!G379*'ESTIMATIVA DE HORAS TÉCNICAS'!F$942+'ESTIMATIVA DE HORAS TÉCNICAS'!H379*'ESTIMATIVA DE HORAS TÉCNICAS'!F$941+'ESTIMATIVA DE HORAS TÉCNICAS'!I379*'ESTIMATIVA DE HORAS TÉCNICAS'!F$945+'ESTIMATIVA DE HORAS TÉCNICAS'!J379*'ESTIMATIVA DE HORAS TÉCNICAS'!F$946+'ESTIMATIVA DE HORAS TÉCNICAS'!K379*'ESTIMATIVA DE HORAS TÉCNICAS'!$F$944+'ESTIMATIVA DE HORAS TÉCNICAS'!L379*'ESTIMATIVA DE HORAS TÉCNICAS'!F$951+'ESTIMATIVA DE HORAS TÉCNICAS'!M379*'ESTIMATIVA DE HORAS TÉCNICAS'!F$950+'ESTIMATIVA DE HORAS TÉCNICAS'!N379*'ESTIMATIVA DE HORAS TÉCNICAS'!F$949+'ESTIMATIVA DE HORAS TÉCNICAS'!O379*'ESTIMATIVA DE HORAS TÉCNICAS'!F$948+'ESTIMATIVA DE HORAS TÉCNICAS'!P379*'ESTIMATIVA DE HORAS TÉCNICAS'!$F$947+'ESTIMATIVA DE HORAS TÉCNICAS'!Q379*'ESTIMATIVA DE HORAS TÉCNICAS'!F$953+'ESTIMATIVA DE HORAS TÉCNICAS'!R379*'ESTIMATIVA DE HORAS TÉCNICAS'!F$954</f>
        <v>12829.129852074426</v>
      </c>
      <c r="E376" s="411">
        <f>'CALCULO DO FATO K'!D$10</f>
        <v>2.3175723620309046</v>
      </c>
      <c r="F376" s="714"/>
      <c r="G376" s="714"/>
      <c r="H376" s="411">
        <f t="shared" si="13"/>
        <v>29732.436774073318</v>
      </c>
      <c r="I376" s="416"/>
      <c r="J376" s="767"/>
    </row>
    <row r="377" spans="1:10" ht="15.75">
      <c r="A377" s="433" t="s">
        <v>416</v>
      </c>
      <c r="B377" s="428" t="s">
        <v>135</v>
      </c>
      <c r="C377" s="409"/>
      <c r="D377" s="787">
        <f>'ESTIMATIVA DE HORAS TÉCNICAS'!F380*'ESTIMATIVA DE HORAS TÉCNICAS'!F$943+'ESTIMATIVA DE HORAS TÉCNICAS'!G380*'ESTIMATIVA DE HORAS TÉCNICAS'!F$942+'ESTIMATIVA DE HORAS TÉCNICAS'!H380*'ESTIMATIVA DE HORAS TÉCNICAS'!F$941+'ESTIMATIVA DE HORAS TÉCNICAS'!I380*'ESTIMATIVA DE HORAS TÉCNICAS'!F$945+'ESTIMATIVA DE HORAS TÉCNICAS'!J380*'ESTIMATIVA DE HORAS TÉCNICAS'!F$946+'ESTIMATIVA DE HORAS TÉCNICAS'!K380*'ESTIMATIVA DE HORAS TÉCNICAS'!$F$944+'ESTIMATIVA DE HORAS TÉCNICAS'!L380*'ESTIMATIVA DE HORAS TÉCNICAS'!F$951+'ESTIMATIVA DE HORAS TÉCNICAS'!M380*'ESTIMATIVA DE HORAS TÉCNICAS'!F$950+'ESTIMATIVA DE HORAS TÉCNICAS'!N380*'ESTIMATIVA DE HORAS TÉCNICAS'!F$949+'ESTIMATIVA DE HORAS TÉCNICAS'!O380*'ESTIMATIVA DE HORAS TÉCNICAS'!F$948+'ESTIMATIVA DE HORAS TÉCNICAS'!P380*'ESTIMATIVA DE HORAS TÉCNICAS'!$F$947+'ESTIMATIVA DE HORAS TÉCNICAS'!Q380*'ESTIMATIVA DE HORAS TÉCNICAS'!F$953+'ESTIMATIVA DE HORAS TÉCNICAS'!R380*'ESTIMATIVA DE HORAS TÉCNICAS'!F$954</f>
        <v>12829.129852074426</v>
      </c>
      <c r="E377" s="411">
        <f>'CALCULO DO FATO K'!D$10</f>
        <v>2.3175723620309046</v>
      </c>
      <c r="F377" s="714"/>
      <c r="G377" s="714"/>
      <c r="H377" s="411">
        <f t="shared" si="13"/>
        <v>29732.436774073318</v>
      </c>
      <c r="I377" s="416"/>
      <c r="J377" s="767"/>
    </row>
    <row r="378" spans="1:10" ht="15.75">
      <c r="A378" s="433" t="s">
        <v>417</v>
      </c>
      <c r="B378" s="428" t="s">
        <v>326</v>
      </c>
      <c r="C378" s="409"/>
      <c r="D378" s="787">
        <f>'ESTIMATIVA DE HORAS TÉCNICAS'!F381*'ESTIMATIVA DE HORAS TÉCNICAS'!F$943+'ESTIMATIVA DE HORAS TÉCNICAS'!G381*'ESTIMATIVA DE HORAS TÉCNICAS'!F$942+'ESTIMATIVA DE HORAS TÉCNICAS'!H381*'ESTIMATIVA DE HORAS TÉCNICAS'!F$941+'ESTIMATIVA DE HORAS TÉCNICAS'!I381*'ESTIMATIVA DE HORAS TÉCNICAS'!F$945+'ESTIMATIVA DE HORAS TÉCNICAS'!J381*'ESTIMATIVA DE HORAS TÉCNICAS'!F$946+'ESTIMATIVA DE HORAS TÉCNICAS'!K381*'ESTIMATIVA DE HORAS TÉCNICAS'!$F$944+'ESTIMATIVA DE HORAS TÉCNICAS'!L381*'ESTIMATIVA DE HORAS TÉCNICAS'!F$951+'ESTIMATIVA DE HORAS TÉCNICAS'!M381*'ESTIMATIVA DE HORAS TÉCNICAS'!F$950+'ESTIMATIVA DE HORAS TÉCNICAS'!N381*'ESTIMATIVA DE HORAS TÉCNICAS'!F$949+'ESTIMATIVA DE HORAS TÉCNICAS'!O381*'ESTIMATIVA DE HORAS TÉCNICAS'!F$948+'ESTIMATIVA DE HORAS TÉCNICAS'!P381*'ESTIMATIVA DE HORAS TÉCNICAS'!$F$947+'ESTIMATIVA DE HORAS TÉCNICAS'!Q381*'ESTIMATIVA DE HORAS TÉCNICAS'!F$953+'ESTIMATIVA DE HORAS TÉCNICAS'!R381*'ESTIMATIVA DE HORAS TÉCNICAS'!F$954</f>
        <v>25658.259704148852</v>
      </c>
      <c r="E378" s="411">
        <f>'CALCULO DO FATO K'!D$10</f>
        <v>2.3175723620309046</v>
      </c>
      <c r="F378" s="714"/>
      <c r="G378" s="714"/>
      <c r="H378" s="411">
        <f t="shared" si="13"/>
        <v>59464.873548146636</v>
      </c>
      <c r="I378" s="416">
        <f>SUM(H372:H378)</f>
        <v>169899.63870899039</v>
      </c>
      <c r="J378" s="767"/>
    </row>
    <row r="379" spans="1:10" s="532" customFormat="1" ht="15.75">
      <c r="A379" s="433"/>
      <c r="B379" s="428"/>
      <c r="C379" s="409"/>
      <c r="D379" s="787"/>
      <c r="E379" s="411"/>
      <c r="F379" s="714"/>
      <c r="G379" s="714"/>
      <c r="H379" s="411"/>
      <c r="I379" s="416"/>
      <c r="J379" s="767"/>
    </row>
    <row r="380" spans="1:10" ht="15.75">
      <c r="A380" s="426"/>
      <c r="B380" s="768"/>
      <c r="C380" s="409"/>
      <c r="D380" s="787"/>
      <c r="E380" s="714"/>
      <c r="F380" s="714"/>
      <c r="G380" s="714"/>
      <c r="H380" s="714"/>
      <c r="I380" s="416"/>
      <c r="J380" s="767"/>
    </row>
    <row r="381" spans="1:10" ht="15.75">
      <c r="A381" s="391" t="s">
        <v>418</v>
      </c>
      <c r="B381" s="367" t="s">
        <v>176</v>
      </c>
      <c r="C381" s="474"/>
      <c r="D381" s="480"/>
      <c r="E381" s="475"/>
      <c r="F381" s="475"/>
      <c r="G381" s="475"/>
      <c r="H381" s="475"/>
      <c r="I381" s="476"/>
      <c r="J381" s="767"/>
    </row>
    <row r="382" spans="1:10" ht="15.75">
      <c r="A382" s="426" t="s">
        <v>419</v>
      </c>
      <c r="B382" s="428" t="s">
        <v>326</v>
      </c>
      <c r="C382" s="409"/>
      <c r="D382" s="787">
        <f>'ESTIMATIVA DE HORAS TÉCNICAS'!F385*'ESTIMATIVA DE HORAS TÉCNICAS'!F$943+'ESTIMATIVA DE HORAS TÉCNICAS'!G385*'ESTIMATIVA DE HORAS TÉCNICAS'!F$942+'ESTIMATIVA DE HORAS TÉCNICAS'!H385*'ESTIMATIVA DE HORAS TÉCNICAS'!F$941+'ESTIMATIVA DE HORAS TÉCNICAS'!I385*'ESTIMATIVA DE HORAS TÉCNICAS'!F$945+'ESTIMATIVA DE HORAS TÉCNICAS'!J385*'ESTIMATIVA DE HORAS TÉCNICAS'!F$946+'ESTIMATIVA DE HORAS TÉCNICAS'!K385*'ESTIMATIVA DE HORAS TÉCNICAS'!$F$944+'ESTIMATIVA DE HORAS TÉCNICAS'!L385*'ESTIMATIVA DE HORAS TÉCNICAS'!F$951+'ESTIMATIVA DE HORAS TÉCNICAS'!M385*'ESTIMATIVA DE HORAS TÉCNICAS'!F$950+'ESTIMATIVA DE HORAS TÉCNICAS'!N385*'ESTIMATIVA DE HORAS TÉCNICAS'!F$949+'ESTIMATIVA DE HORAS TÉCNICAS'!O385*'ESTIMATIVA DE HORAS TÉCNICAS'!F$948+'ESTIMATIVA DE HORAS TÉCNICAS'!P385*'ESTIMATIVA DE HORAS TÉCNICAS'!$F$947+'ESTIMATIVA DE HORAS TÉCNICAS'!Q385*'ESTIMATIVA DE HORAS TÉCNICAS'!F$953+'ESTIMATIVA DE HORAS TÉCNICAS'!R385*'ESTIMATIVA DE HORAS TÉCNICAS'!F$954</f>
        <v>8025.866294204322</v>
      </c>
      <c r="E382" s="411">
        <f>'CALCULO DO FATO K'!D$10</f>
        <v>2.3175723620309046</v>
      </c>
      <c r="F382" s="714"/>
      <c r="G382" s="714"/>
      <c r="H382" s="411">
        <f t="shared" ref="H382:H387" si="14">D382*E382</f>
        <v>18600.525904803333</v>
      </c>
      <c r="I382" s="416"/>
      <c r="J382" s="767"/>
    </row>
    <row r="383" spans="1:10" ht="15.75">
      <c r="A383" s="426" t="s">
        <v>420</v>
      </c>
      <c r="B383" s="428" t="s">
        <v>135</v>
      </c>
      <c r="C383" s="409"/>
      <c r="D383" s="787">
        <f>'ESTIMATIVA DE HORAS TÉCNICAS'!F386*'ESTIMATIVA DE HORAS TÉCNICAS'!F$943+'ESTIMATIVA DE HORAS TÉCNICAS'!G386*'ESTIMATIVA DE HORAS TÉCNICAS'!F$942+'ESTIMATIVA DE HORAS TÉCNICAS'!H386*'ESTIMATIVA DE HORAS TÉCNICAS'!F$941+'ESTIMATIVA DE HORAS TÉCNICAS'!I386*'ESTIMATIVA DE HORAS TÉCNICAS'!F$945+'ESTIMATIVA DE HORAS TÉCNICAS'!J386*'ESTIMATIVA DE HORAS TÉCNICAS'!F$946+'ESTIMATIVA DE HORAS TÉCNICAS'!K386*'ESTIMATIVA DE HORAS TÉCNICAS'!$F$944+'ESTIMATIVA DE HORAS TÉCNICAS'!L386*'ESTIMATIVA DE HORAS TÉCNICAS'!F$951+'ESTIMATIVA DE HORAS TÉCNICAS'!M386*'ESTIMATIVA DE HORAS TÉCNICAS'!F$950+'ESTIMATIVA DE HORAS TÉCNICAS'!N386*'ESTIMATIVA DE HORAS TÉCNICAS'!F$949+'ESTIMATIVA DE HORAS TÉCNICAS'!O386*'ESTIMATIVA DE HORAS TÉCNICAS'!F$948+'ESTIMATIVA DE HORAS TÉCNICAS'!P386*'ESTIMATIVA DE HORAS TÉCNICAS'!$F$947+'ESTIMATIVA DE HORAS TÉCNICAS'!Q386*'ESTIMATIVA DE HORAS TÉCNICAS'!F$953+'ESTIMATIVA DE HORAS TÉCNICAS'!R386*'ESTIMATIVA DE HORAS TÉCNICAS'!F$954</f>
        <v>3210.346517681729</v>
      </c>
      <c r="E383" s="411">
        <f>'CALCULO DO FATO K'!D$10</f>
        <v>2.3175723620309046</v>
      </c>
      <c r="F383" s="714"/>
      <c r="G383" s="714"/>
      <c r="H383" s="411">
        <f t="shared" si="14"/>
        <v>7440.210361921334</v>
      </c>
      <c r="I383" s="416"/>
      <c r="J383" s="767"/>
    </row>
    <row r="384" spans="1:10" ht="15.75">
      <c r="A384" s="426" t="s">
        <v>421</v>
      </c>
      <c r="B384" s="428" t="s">
        <v>112</v>
      </c>
      <c r="C384" s="409"/>
      <c r="D384" s="787">
        <f>'ESTIMATIVA DE HORAS TÉCNICAS'!F387*'ESTIMATIVA DE HORAS TÉCNICAS'!F$943+'ESTIMATIVA DE HORAS TÉCNICAS'!G387*'ESTIMATIVA DE HORAS TÉCNICAS'!F$942+'ESTIMATIVA DE HORAS TÉCNICAS'!H387*'ESTIMATIVA DE HORAS TÉCNICAS'!F$941+'ESTIMATIVA DE HORAS TÉCNICAS'!I387*'ESTIMATIVA DE HORAS TÉCNICAS'!F$945+'ESTIMATIVA DE HORAS TÉCNICAS'!J387*'ESTIMATIVA DE HORAS TÉCNICAS'!F$946+'ESTIMATIVA DE HORAS TÉCNICAS'!K387*'ESTIMATIVA DE HORAS TÉCNICAS'!$F$944+'ESTIMATIVA DE HORAS TÉCNICAS'!L387*'ESTIMATIVA DE HORAS TÉCNICAS'!F$951+'ESTIMATIVA DE HORAS TÉCNICAS'!M387*'ESTIMATIVA DE HORAS TÉCNICAS'!F$950+'ESTIMATIVA DE HORAS TÉCNICAS'!N387*'ESTIMATIVA DE HORAS TÉCNICAS'!F$949+'ESTIMATIVA DE HORAS TÉCNICAS'!O387*'ESTIMATIVA DE HORAS TÉCNICAS'!F$948+'ESTIMATIVA DE HORAS TÉCNICAS'!P387*'ESTIMATIVA DE HORAS TÉCNICAS'!$F$947+'ESTIMATIVA DE HORAS TÉCNICAS'!Q387*'ESTIMATIVA DE HORAS TÉCNICAS'!F$953+'ESTIMATIVA DE HORAS TÉCNICAS'!R387*'ESTIMATIVA DE HORAS TÉCNICAS'!F$954</f>
        <v>3210.346517681729</v>
      </c>
      <c r="E384" s="411">
        <f>'CALCULO DO FATO K'!D$10</f>
        <v>2.3175723620309046</v>
      </c>
      <c r="F384" s="714"/>
      <c r="G384" s="714"/>
      <c r="H384" s="411">
        <f t="shared" si="14"/>
        <v>7440.210361921334</v>
      </c>
      <c r="I384" s="416"/>
      <c r="J384" s="767"/>
    </row>
    <row r="385" spans="1:10" ht="15.75">
      <c r="A385" s="426" t="s">
        <v>422</v>
      </c>
      <c r="B385" s="428" t="s">
        <v>105</v>
      </c>
      <c r="C385" s="409"/>
      <c r="D385" s="787">
        <f>'ESTIMATIVA DE HORAS TÉCNICAS'!F388*'ESTIMATIVA DE HORAS TÉCNICAS'!F$943+'ESTIMATIVA DE HORAS TÉCNICAS'!G388*'ESTIMATIVA DE HORAS TÉCNICAS'!F$942+'ESTIMATIVA DE HORAS TÉCNICAS'!H388*'ESTIMATIVA DE HORAS TÉCNICAS'!F$941+'ESTIMATIVA DE HORAS TÉCNICAS'!I388*'ESTIMATIVA DE HORAS TÉCNICAS'!F$945+'ESTIMATIVA DE HORAS TÉCNICAS'!J388*'ESTIMATIVA DE HORAS TÉCNICAS'!F$946+'ESTIMATIVA DE HORAS TÉCNICAS'!K388*'ESTIMATIVA DE HORAS TÉCNICAS'!$F$944+'ESTIMATIVA DE HORAS TÉCNICAS'!L388*'ESTIMATIVA DE HORAS TÉCNICAS'!F$951+'ESTIMATIVA DE HORAS TÉCNICAS'!M388*'ESTIMATIVA DE HORAS TÉCNICAS'!F$950+'ESTIMATIVA DE HORAS TÉCNICAS'!N388*'ESTIMATIVA DE HORAS TÉCNICAS'!F$949+'ESTIMATIVA DE HORAS TÉCNICAS'!O388*'ESTIMATIVA DE HORAS TÉCNICAS'!F$948+'ESTIMATIVA DE HORAS TÉCNICAS'!P388*'ESTIMATIVA DE HORAS TÉCNICAS'!$F$947+'ESTIMATIVA DE HORAS TÉCNICAS'!Q388*'ESTIMATIVA DE HORAS TÉCNICAS'!F$953+'ESTIMATIVA DE HORAS TÉCNICAS'!R388*'ESTIMATIVA DE HORAS TÉCNICAS'!F$954</f>
        <v>3210.346517681729</v>
      </c>
      <c r="E385" s="411">
        <f>'CALCULO DO FATO K'!D$10</f>
        <v>2.3175723620309046</v>
      </c>
      <c r="F385" s="714"/>
      <c r="G385" s="714"/>
      <c r="H385" s="411">
        <f t="shared" si="14"/>
        <v>7440.210361921334</v>
      </c>
      <c r="I385" s="416"/>
      <c r="J385" s="767"/>
    </row>
    <row r="386" spans="1:10" ht="15.75">
      <c r="A386" s="426" t="s">
        <v>423</v>
      </c>
      <c r="B386" s="428" t="s">
        <v>142</v>
      </c>
      <c r="C386" s="409"/>
      <c r="D386" s="787">
        <f>'ESTIMATIVA DE HORAS TÉCNICAS'!F389*'ESTIMATIVA DE HORAS TÉCNICAS'!F$943+'ESTIMATIVA DE HORAS TÉCNICAS'!G389*'ESTIMATIVA DE HORAS TÉCNICAS'!F$942+'ESTIMATIVA DE HORAS TÉCNICAS'!H389*'ESTIMATIVA DE HORAS TÉCNICAS'!F$941+'ESTIMATIVA DE HORAS TÉCNICAS'!I389*'ESTIMATIVA DE HORAS TÉCNICAS'!F$945+'ESTIMATIVA DE HORAS TÉCNICAS'!J389*'ESTIMATIVA DE HORAS TÉCNICAS'!F$946+'ESTIMATIVA DE HORAS TÉCNICAS'!K389*'ESTIMATIVA DE HORAS TÉCNICAS'!$F$944+'ESTIMATIVA DE HORAS TÉCNICAS'!L389*'ESTIMATIVA DE HORAS TÉCNICAS'!F$951+'ESTIMATIVA DE HORAS TÉCNICAS'!M389*'ESTIMATIVA DE HORAS TÉCNICAS'!F$950+'ESTIMATIVA DE HORAS TÉCNICAS'!N389*'ESTIMATIVA DE HORAS TÉCNICAS'!F$949+'ESTIMATIVA DE HORAS TÉCNICAS'!O389*'ESTIMATIVA DE HORAS TÉCNICAS'!F$948+'ESTIMATIVA DE HORAS TÉCNICAS'!P389*'ESTIMATIVA DE HORAS TÉCNICAS'!$F$947+'ESTIMATIVA DE HORAS TÉCNICAS'!Q389*'ESTIMATIVA DE HORAS TÉCNICAS'!F$953+'ESTIMATIVA DE HORAS TÉCNICAS'!R389*'ESTIMATIVA DE HORAS TÉCNICAS'!F$954</f>
        <v>8025.866294204322</v>
      </c>
      <c r="E386" s="411">
        <f>'CALCULO DO FATO K'!D$10</f>
        <v>2.3175723620309046</v>
      </c>
      <c r="F386" s="714"/>
      <c r="G386" s="714"/>
      <c r="H386" s="411">
        <f t="shared" si="14"/>
        <v>18600.525904803333</v>
      </c>
      <c r="I386" s="416"/>
      <c r="J386" s="767"/>
    </row>
    <row r="387" spans="1:10" ht="15.75">
      <c r="A387" s="426" t="s">
        <v>424</v>
      </c>
      <c r="B387" s="428" t="s">
        <v>150</v>
      </c>
      <c r="C387" s="409"/>
      <c r="D387" s="787">
        <f>'ESTIMATIVA DE HORAS TÉCNICAS'!F390*'ESTIMATIVA DE HORAS TÉCNICAS'!F$943+'ESTIMATIVA DE HORAS TÉCNICAS'!G390*'ESTIMATIVA DE HORAS TÉCNICAS'!F$942+'ESTIMATIVA DE HORAS TÉCNICAS'!H390*'ESTIMATIVA DE HORAS TÉCNICAS'!F$941+'ESTIMATIVA DE HORAS TÉCNICAS'!I390*'ESTIMATIVA DE HORAS TÉCNICAS'!F$945+'ESTIMATIVA DE HORAS TÉCNICAS'!J390*'ESTIMATIVA DE HORAS TÉCNICAS'!F$946+'ESTIMATIVA DE HORAS TÉCNICAS'!K390*'ESTIMATIVA DE HORAS TÉCNICAS'!$F$944+'ESTIMATIVA DE HORAS TÉCNICAS'!L390*'ESTIMATIVA DE HORAS TÉCNICAS'!F$951+'ESTIMATIVA DE HORAS TÉCNICAS'!M390*'ESTIMATIVA DE HORAS TÉCNICAS'!F$950+'ESTIMATIVA DE HORAS TÉCNICAS'!N390*'ESTIMATIVA DE HORAS TÉCNICAS'!F$949+'ESTIMATIVA DE HORAS TÉCNICAS'!O390*'ESTIMATIVA DE HORAS TÉCNICAS'!F$948+'ESTIMATIVA DE HORAS TÉCNICAS'!P390*'ESTIMATIVA DE HORAS TÉCNICAS'!$F$947+'ESTIMATIVA DE HORAS TÉCNICAS'!Q390*'ESTIMATIVA DE HORAS TÉCNICAS'!F$953+'ESTIMATIVA DE HORAS TÉCNICAS'!R390*'ESTIMATIVA DE HORAS TÉCNICAS'!F$954</f>
        <v>6420.693035363458</v>
      </c>
      <c r="E387" s="411">
        <f>'CALCULO DO FATO K'!D$10</f>
        <v>2.3175723620309046</v>
      </c>
      <c r="F387" s="714"/>
      <c r="G387" s="714"/>
      <c r="H387" s="411">
        <f t="shared" si="14"/>
        <v>14880.420723842668</v>
      </c>
      <c r="I387" s="416">
        <f>SUM(H382:H387)</f>
        <v>74402.103619213332</v>
      </c>
      <c r="J387" s="767"/>
    </row>
    <row r="388" spans="1:10" s="532" customFormat="1" ht="15.75">
      <c r="A388" s="426"/>
      <c r="B388" s="428"/>
      <c r="C388" s="409"/>
      <c r="D388" s="787"/>
      <c r="E388" s="411"/>
      <c r="F388" s="714"/>
      <c r="G388" s="714"/>
      <c r="H388" s="411"/>
      <c r="I388" s="416"/>
      <c r="J388" s="767"/>
    </row>
    <row r="389" spans="1:10" s="284" customFormat="1" ht="15.75">
      <c r="A389" s="323"/>
      <c r="B389" s="366"/>
      <c r="C389" s="409"/>
      <c r="D389" s="787"/>
      <c r="E389" s="411"/>
      <c r="F389" s="714"/>
      <c r="G389" s="714"/>
      <c r="H389" s="411"/>
      <c r="I389" s="416"/>
      <c r="J389" s="767"/>
    </row>
    <row r="390" spans="1:10" ht="15.75">
      <c r="A390" s="391" t="s">
        <v>425</v>
      </c>
      <c r="B390" s="376" t="s">
        <v>181</v>
      </c>
      <c r="C390" s="474"/>
      <c r="D390" s="480"/>
      <c r="E390" s="475"/>
      <c r="F390" s="475"/>
      <c r="G390" s="475"/>
      <c r="H390" s="475"/>
      <c r="I390" s="476"/>
      <c r="J390" s="767"/>
    </row>
    <row r="391" spans="1:10" ht="15.75">
      <c r="A391" s="426" t="s">
        <v>426</v>
      </c>
      <c r="B391" s="428" t="s">
        <v>326</v>
      </c>
      <c r="C391" s="409"/>
      <c r="D391" s="787">
        <f>'ESTIMATIVA DE HORAS TÉCNICAS'!F394*'ESTIMATIVA DE HORAS TÉCNICAS'!F$943+'ESTIMATIVA DE HORAS TÉCNICAS'!G394*'ESTIMATIVA DE HORAS TÉCNICAS'!F$942+'ESTIMATIVA DE HORAS TÉCNICAS'!H394*'ESTIMATIVA DE HORAS TÉCNICAS'!F$941+'ESTIMATIVA DE HORAS TÉCNICAS'!I394*'ESTIMATIVA DE HORAS TÉCNICAS'!F$945+'ESTIMATIVA DE HORAS TÉCNICAS'!J394*'ESTIMATIVA DE HORAS TÉCNICAS'!F$946+'ESTIMATIVA DE HORAS TÉCNICAS'!K394*'ESTIMATIVA DE HORAS TÉCNICAS'!$F$944+'ESTIMATIVA DE HORAS TÉCNICAS'!L394*'ESTIMATIVA DE HORAS TÉCNICAS'!F$951+'ESTIMATIVA DE HORAS TÉCNICAS'!M394*'ESTIMATIVA DE HORAS TÉCNICAS'!F$950+'ESTIMATIVA DE HORAS TÉCNICAS'!N394*'ESTIMATIVA DE HORAS TÉCNICAS'!F$949+'ESTIMATIVA DE HORAS TÉCNICAS'!O394*'ESTIMATIVA DE HORAS TÉCNICAS'!F$948+'ESTIMATIVA DE HORAS TÉCNICAS'!P394*'ESTIMATIVA DE HORAS TÉCNICAS'!$F$947+'ESTIMATIVA DE HORAS TÉCNICAS'!Q394*'ESTIMATIVA DE HORAS TÉCNICAS'!F$953+'ESTIMATIVA DE HORAS TÉCNICAS'!R394*'ESTIMATIVA DE HORAS TÉCNICAS'!F$954</f>
        <v>1902.1239974575294</v>
      </c>
      <c r="E391" s="411">
        <f>'CALCULO DO FATO K'!D$10</f>
        <v>2.3175723620309046</v>
      </c>
      <c r="F391" s="714"/>
      <c r="G391" s="714"/>
      <c r="H391" s="411">
        <f t="shared" ref="H391:H396" si="15">D391*E391</f>
        <v>4408.3100056633129</v>
      </c>
      <c r="I391" s="416"/>
      <c r="J391" s="767"/>
    </row>
    <row r="392" spans="1:10" ht="15.75">
      <c r="A392" s="426" t="s">
        <v>427</v>
      </c>
      <c r="B392" s="428" t="s">
        <v>135</v>
      </c>
      <c r="C392" s="409"/>
      <c r="D392" s="787">
        <f>'ESTIMATIVA DE HORAS TÉCNICAS'!F395*'ESTIMATIVA DE HORAS TÉCNICAS'!F$943+'ESTIMATIVA DE HORAS TÉCNICAS'!G395*'ESTIMATIVA DE HORAS TÉCNICAS'!F$942+'ESTIMATIVA DE HORAS TÉCNICAS'!H395*'ESTIMATIVA DE HORAS TÉCNICAS'!F$941+'ESTIMATIVA DE HORAS TÉCNICAS'!I395*'ESTIMATIVA DE HORAS TÉCNICAS'!F$945+'ESTIMATIVA DE HORAS TÉCNICAS'!J395*'ESTIMATIVA DE HORAS TÉCNICAS'!F$946+'ESTIMATIVA DE HORAS TÉCNICAS'!K395*'ESTIMATIVA DE HORAS TÉCNICAS'!$F$944+'ESTIMATIVA DE HORAS TÉCNICAS'!L395*'ESTIMATIVA DE HORAS TÉCNICAS'!F$951+'ESTIMATIVA DE HORAS TÉCNICAS'!M395*'ESTIMATIVA DE HORAS TÉCNICAS'!F$950+'ESTIMATIVA DE HORAS TÉCNICAS'!N395*'ESTIMATIVA DE HORAS TÉCNICAS'!F$949+'ESTIMATIVA DE HORAS TÉCNICAS'!O395*'ESTIMATIVA DE HORAS TÉCNICAS'!F$948+'ESTIMATIVA DE HORAS TÉCNICAS'!P395*'ESTIMATIVA DE HORAS TÉCNICAS'!$F$947+'ESTIMATIVA DE HORAS TÉCNICAS'!Q395*'ESTIMATIVA DE HORAS TÉCNICAS'!F$953+'ESTIMATIVA DE HORAS TÉCNICAS'!R395*'ESTIMATIVA DE HORAS TÉCNICAS'!F$954</f>
        <v>1521.6991979660238</v>
      </c>
      <c r="E392" s="411">
        <f>'CALCULO DO FATO K'!D$10</f>
        <v>2.3175723620309046</v>
      </c>
      <c r="F392" s="714"/>
      <c r="G392" s="714"/>
      <c r="H392" s="411">
        <f t="shared" si="15"/>
        <v>3526.6480045306507</v>
      </c>
      <c r="I392" s="416"/>
      <c r="J392" s="767"/>
    </row>
    <row r="393" spans="1:10" ht="15.75">
      <c r="A393" s="426" t="s">
        <v>428</v>
      </c>
      <c r="B393" s="428" t="s">
        <v>112</v>
      </c>
      <c r="C393" s="409"/>
      <c r="D393" s="787">
        <f>'ESTIMATIVA DE HORAS TÉCNICAS'!F396*'ESTIMATIVA DE HORAS TÉCNICAS'!F$943+'ESTIMATIVA DE HORAS TÉCNICAS'!G396*'ESTIMATIVA DE HORAS TÉCNICAS'!F$942+'ESTIMATIVA DE HORAS TÉCNICAS'!H396*'ESTIMATIVA DE HORAS TÉCNICAS'!F$941+'ESTIMATIVA DE HORAS TÉCNICAS'!I396*'ESTIMATIVA DE HORAS TÉCNICAS'!F$945+'ESTIMATIVA DE HORAS TÉCNICAS'!J396*'ESTIMATIVA DE HORAS TÉCNICAS'!F$946+'ESTIMATIVA DE HORAS TÉCNICAS'!K396*'ESTIMATIVA DE HORAS TÉCNICAS'!$F$944+'ESTIMATIVA DE HORAS TÉCNICAS'!L396*'ESTIMATIVA DE HORAS TÉCNICAS'!F$951+'ESTIMATIVA DE HORAS TÉCNICAS'!M396*'ESTIMATIVA DE HORAS TÉCNICAS'!F$950+'ESTIMATIVA DE HORAS TÉCNICAS'!N396*'ESTIMATIVA DE HORAS TÉCNICAS'!F$949+'ESTIMATIVA DE HORAS TÉCNICAS'!O396*'ESTIMATIVA DE HORAS TÉCNICAS'!F$948+'ESTIMATIVA DE HORAS TÉCNICAS'!P396*'ESTIMATIVA DE HORAS TÉCNICAS'!$F$947+'ESTIMATIVA DE HORAS TÉCNICAS'!Q396*'ESTIMATIVA DE HORAS TÉCNICAS'!F$953+'ESTIMATIVA DE HORAS TÉCNICAS'!R396*'ESTIMATIVA DE HORAS TÉCNICAS'!F$954</f>
        <v>760.8495989830119</v>
      </c>
      <c r="E393" s="411">
        <f>'CALCULO DO FATO K'!D$10</f>
        <v>2.3175723620309046</v>
      </c>
      <c r="F393" s="714"/>
      <c r="G393" s="714"/>
      <c r="H393" s="411">
        <f t="shared" si="15"/>
        <v>1763.3240022653254</v>
      </c>
      <c r="I393" s="416"/>
      <c r="J393" s="767"/>
    </row>
    <row r="394" spans="1:10" ht="15.75">
      <c r="A394" s="426" t="s">
        <v>429</v>
      </c>
      <c r="B394" s="428" t="s">
        <v>105</v>
      </c>
      <c r="C394" s="409"/>
      <c r="D394" s="787">
        <f>'ESTIMATIVA DE HORAS TÉCNICAS'!F397*'ESTIMATIVA DE HORAS TÉCNICAS'!F$943+'ESTIMATIVA DE HORAS TÉCNICAS'!G397*'ESTIMATIVA DE HORAS TÉCNICAS'!F$942+'ESTIMATIVA DE HORAS TÉCNICAS'!H397*'ESTIMATIVA DE HORAS TÉCNICAS'!F$941+'ESTIMATIVA DE HORAS TÉCNICAS'!I397*'ESTIMATIVA DE HORAS TÉCNICAS'!F$945+'ESTIMATIVA DE HORAS TÉCNICAS'!J397*'ESTIMATIVA DE HORAS TÉCNICAS'!F$946+'ESTIMATIVA DE HORAS TÉCNICAS'!K397*'ESTIMATIVA DE HORAS TÉCNICAS'!$F$944+'ESTIMATIVA DE HORAS TÉCNICAS'!L397*'ESTIMATIVA DE HORAS TÉCNICAS'!F$951+'ESTIMATIVA DE HORAS TÉCNICAS'!M397*'ESTIMATIVA DE HORAS TÉCNICAS'!F$950+'ESTIMATIVA DE HORAS TÉCNICAS'!N397*'ESTIMATIVA DE HORAS TÉCNICAS'!F$949+'ESTIMATIVA DE HORAS TÉCNICAS'!O397*'ESTIMATIVA DE HORAS TÉCNICAS'!F$948+'ESTIMATIVA DE HORAS TÉCNICAS'!P397*'ESTIMATIVA DE HORAS TÉCNICAS'!$F$947+'ESTIMATIVA DE HORAS TÉCNICAS'!Q397*'ESTIMATIVA DE HORAS TÉCNICAS'!F$953+'ESTIMATIVA DE HORAS TÉCNICAS'!R397*'ESTIMATIVA DE HORAS TÉCNICAS'!F$954</f>
        <v>760.8495989830119</v>
      </c>
      <c r="E394" s="411">
        <f>'CALCULO DO FATO K'!D$10</f>
        <v>2.3175723620309046</v>
      </c>
      <c r="F394" s="714"/>
      <c r="G394" s="714"/>
      <c r="H394" s="411">
        <f t="shared" si="15"/>
        <v>1763.3240022653254</v>
      </c>
      <c r="I394" s="416"/>
      <c r="J394" s="767"/>
    </row>
    <row r="395" spans="1:10" ht="15.75">
      <c r="A395" s="426" t="s">
        <v>430</v>
      </c>
      <c r="B395" s="428" t="s">
        <v>142</v>
      </c>
      <c r="C395" s="409"/>
      <c r="D395" s="787">
        <f>'ESTIMATIVA DE HORAS TÉCNICAS'!F398*'ESTIMATIVA DE HORAS TÉCNICAS'!F$943+'ESTIMATIVA DE HORAS TÉCNICAS'!G398*'ESTIMATIVA DE HORAS TÉCNICAS'!F$942+'ESTIMATIVA DE HORAS TÉCNICAS'!H398*'ESTIMATIVA DE HORAS TÉCNICAS'!F$941+'ESTIMATIVA DE HORAS TÉCNICAS'!I398*'ESTIMATIVA DE HORAS TÉCNICAS'!F$945+'ESTIMATIVA DE HORAS TÉCNICAS'!J398*'ESTIMATIVA DE HORAS TÉCNICAS'!F$946+'ESTIMATIVA DE HORAS TÉCNICAS'!K398*'ESTIMATIVA DE HORAS TÉCNICAS'!$F$944+'ESTIMATIVA DE HORAS TÉCNICAS'!L398*'ESTIMATIVA DE HORAS TÉCNICAS'!F$951+'ESTIMATIVA DE HORAS TÉCNICAS'!M398*'ESTIMATIVA DE HORAS TÉCNICAS'!F$950+'ESTIMATIVA DE HORAS TÉCNICAS'!N398*'ESTIMATIVA DE HORAS TÉCNICAS'!F$949+'ESTIMATIVA DE HORAS TÉCNICAS'!O398*'ESTIMATIVA DE HORAS TÉCNICAS'!F$948+'ESTIMATIVA DE HORAS TÉCNICAS'!P398*'ESTIMATIVA DE HORAS TÉCNICAS'!$F$947+'ESTIMATIVA DE HORAS TÉCNICAS'!Q398*'ESTIMATIVA DE HORAS TÉCNICAS'!F$953+'ESTIMATIVA DE HORAS TÉCNICAS'!R398*'ESTIMATIVA DE HORAS TÉCNICAS'!F$954</f>
        <v>1902.1239974575294</v>
      </c>
      <c r="E395" s="411">
        <f>'CALCULO DO FATO K'!D$10</f>
        <v>2.3175723620309046</v>
      </c>
      <c r="F395" s="714"/>
      <c r="G395" s="714"/>
      <c r="H395" s="411">
        <f t="shared" si="15"/>
        <v>4408.3100056633129</v>
      </c>
      <c r="I395" s="416"/>
      <c r="J395" s="767"/>
    </row>
    <row r="396" spans="1:10" ht="15.75">
      <c r="A396" s="426" t="s">
        <v>431</v>
      </c>
      <c r="B396" s="428" t="s">
        <v>150</v>
      </c>
      <c r="C396" s="409"/>
      <c r="D396" s="787">
        <f>'ESTIMATIVA DE HORAS TÉCNICAS'!F399*'ESTIMATIVA DE HORAS TÉCNICAS'!F$943+'ESTIMATIVA DE HORAS TÉCNICAS'!G399*'ESTIMATIVA DE HORAS TÉCNICAS'!F$942+'ESTIMATIVA DE HORAS TÉCNICAS'!H399*'ESTIMATIVA DE HORAS TÉCNICAS'!F$941+'ESTIMATIVA DE HORAS TÉCNICAS'!I399*'ESTIMATIVA DE HORAS TÉCNICAS'!F$945+'ESTIMATIVA DE HORAS TÉCNICAS'!J399*'ESTIMATIVA DE HORAS TÉCNICAS'!F$946+'ESTIMATIVA DE HORAS TÉCNICAS'!K399*'ESTIMATIVA DE HORAS TÉCNICAS'!$F$944+'ESTIMATIVA DE HORAS TÉCNICAS'!L399*'ESTIMATIVA DE HORAS TÉCNICAS'!F$951+'ESTIMATIVA DE HORAS TÉCNICAS'!M399*'ESTIMATIVA DE HORAS TÉCNICAS'!F$950+'ESTIMATIVA DE HORAS TÉCNICAS'!N399*'ESTIMATIVA DE HORAS TÉCNICAS'!F$949+'ESTIMATIVA DE HORAS TÉCNICAS'!O399*'ESTIMATIVA DE HORAS TÉCNICAS'!F$948+'ESTIMATIVA DE HORAS TÉCNICAS'!P399*'ESTIMATIVA DE HORAS TÉCNICAS'!$F$947+'ESTIMATIVA DE HORAS TÉCNICAS'!Q399*'ESTIMATIVA DE HORAS TÉCNICAS'!F$953+'ESTIMATIVA DE HORAS TÉCNICAS'!R399*'ESTIMATIVA DE HORAS TÉCNICAS'!F$954</f>
        <v>760.8495989830119</v>
      </c>
      <c r="E396" s="411">
        <f>'CALCULO DO FATO K'!D$10</f>
        <v>2.3175723620309046</v>
      </c>
      <c r="F396" s="714"/>
      <c r="G396" s="714"/>
      <c r="H396" s="411">
        <f t="shared" si="15"/>
        <v>1763.3240022653254</v>
      </c>
      <c r="I396" s="416">
        <f>SUM(H391:H396)</f>
        <v>17633.240022653252</v>
      </c>
      <c r="J396" s="767"/>
    </row>
    <row r="397" spans="1:10" s="532" customFormat="1" ht="15.75">
      <c r="A397" s="426"/>
      <c r="B397" s="428"/>
      <c r="C397" s="409"/>
      <c r="D397" s="787"/>
      <c r="E397" s="411"/>
      <c r="F397" s="714"/>
      <c r="G397" s="714"/>
      <c r="H397" s="411"/>
      <c r="I397" s="416"/>
      <c r="J397" s="767"/>
    </row>
    <row r="398" spans="1:10" s="284" customFormat="1" ht="15.75">
      <c r="A398" s="426"/>
      <c r="B398" s="768"/>
      <c r="C398" s="409"/>
      <c r="D398" s="787"/>
      <c r="E398" s="411"/>
      <c r="F398" s="714"/>
      <c r="G398" s="714"/>
      <c r="H398" s="411"/>
      <c r="I398" s="416"/>
      <c r="J398" s="767"/>
    </row>
    <row r="399" spans="1:10" ht="15.75">
      <c r="A399" s="391" t="s">
        <v>432</v>
      </c>
      <c r="B399" s="427" t="s">
        <v>187</v>
      </c>
      <c r="C399" s="474"/>
      <c r="D399" s="480"/>
      <c r="E399" s="475"/>
      <c r="F399" s="475"/>
      <c r="G399" s="475"/>
      <c r="H399" s="475"/>
      <c r="I399" s="476"/>
      <c r="J399" s="767"/>
    </row>
    <row r="400" spans="1:10" ht="15.75">
      <c r="A400" s="426" t="s">
        <v>433</v>
      </c>
      <c r="B400" s="428" t="s">
        <v>326</v>
      </c>
      <c r="C400" s="410"/>
      <c r="D400" s="787">
        <f>'ESTIMATIVA DE HORAS TÉCNICAS'!F403*'ESTIMATIVA DE HORAS TÉCNICAS'!F$943+'ESTIMATIVA DE HORAS TÉCNICAS'!G403*'ESTIMATIVA DE HORAS TÉCNICAS'!F$942+'ESTIMATIVA DE HORAS TÉCNICAS'!H403*'ESTIMATIVA DE HORAS TÉCNICAS'!F$941+'ESTIMATIVA DE HORAS TÉCNICAS'!I403*'ESTIMATIVA DE HORAS TÉCNICAS'!F$945+'ESTIMATIVA DE HORAS TÉCNICAS'!J403*'ESTIMATIVA DE HORAS TÉCNICAS'!F$946+'ESTIMATIVA DE HORAS TÉCNICAS'!K403*'ESTIMATIVA DE HORAS TÉCNICAS'!$F$944+'ESTIMATIVA DE HORAS TÉCNICAS'!L403*'ESTIMATIVA DE HORAS TÉCNICAS'!F$951+'ESTIMATIVA DE HORAS TÉCNICAS'!M403*'ESTIMATIVA DE HORAS TÉCNICAS'!F$950+'ESTIMATIVA DE HORAS TÉCNICAS'!N403*'ESTIMATIVA DE HORAS TÉCNICAS'!F$949+'ESTIMATIVA DE HORAS TÉCNICAS'!O403*'ESTIMATIVA DE HORAS TÉCNICAS'!F$948+'ESTIMATIVA DE HORAS TÉCNICAS'!P403*'ESTIMATIVA DE HORAS TÉCNICAS'!$F$947+'ESTIMATIVA DE HORAS TÉCNICAS'!Q403*'ESTIMATIVA DE HORAS TÉCNICAS'!F$953+'ESTIMATIVA DE HORAS TÉCNICAS'!R403*'ESTIMATIVA DE HORAS TÉCNICAS'!F$954</f>
        <v>4466.6251343464701</v>
      </c>
      <c r="E400" s="411">
        <f>'CALCULO DO FATO K'!D$10</f>
        <v>2.3175723620309046</v>
      </c>
      <c r="F400" s="714"/>
      <c r="G400" s="714"/>
      <c r="H400" s="411">
        <f t="shared" ref="H400:H405" si="16">D400*E400</f>
        <v>10351.726962913956</v>
      </c>
      <c r="I400" s="416"/>
      <c r="J400" s="767"/>
    </row>
    <row r="401" spans="1:10" ht="15.75">
      <c r="A401" s="426" t="s">
        <v>434</v>
      </c>
      <c r="B401" s="428" t="s">
        <v>135</v>
      </c>
      <c r="C401" s="410"/>
      <c r="D401" s="787">
        <f>'ESTIMATIVA DE HORAS TÉCNICAS'!F404*'ESTIMATIVA DE HORAS TÉCNICAS'!F$943+'ESTIMATIVA DE HORAS TÉCNICAS'!G404*'ESTIMATIVA DE HORAS TÉCNICAS'!F$942+'ESTIMATIVA DE HORAS TÉCNICAS'!H404*'ESTIMATIVA DE HORAS TÉCNICAS'!F$941+'ESTIMATIVA DE HORAS TÉCNICAS'!I404*'ESTIMATIVA DE HORAS TÉCNICAS'!F$945+'ESTIMATIVA DE HORAS TÉCNICAS'!J404*'ESTIMATIVA DE HORAS TÉCNICAS'!F$946+'ESTIMATIVA DE HORAS TÉCNICAS'!K404*'ESTIMATIVA DE HORAS TÉCNICAS'!$F$944+'ESTIMATIVA DE HORAS TÉCNICAS'!L404*'ESTIMATIVA DE HORAS TÉCNICAS'!F$951+'ESTIMATIVA DE HORAS TÉCNICAS'!M404*'ESTIMATIVA DE HORAS TÉCNICAS'!F$950+'ESTIMATIVA DE HORAS TÉCNICAS'!N404*'ESTIMATIVA DE HORAS TÉCNICAS'!F$949+'ESTIMATIVA DE HORAS TÉCNICAS'!O404*'ESTIMATIVA DE HORAS TÉCNICAS'!F$948+'ESTIMATIVA DE HORAS TÉCNICAS'!P404*'ESTIMATIVA DE HORAS TÉCNICAS'!$F$947+'ESTIMATIVA DE HORAS TÉCNICAS'!Q404*'ESTIMATIVA DE HORAS TÉCNICAS'!F$953+'ESTIMATIVA DE HORAS TÉCNICAS'!R404*'ESTIMATIVA DE HORAS TÉCNICAS'!F$954</f>
        <v>3573.3001074771764</v>
      </c>
      <c r="E401" s="411">
        <f>'CALCULO DO FATO K'!D$10</f>
        <v>2.3175723620309046</v>
      </c>
      <c r="F401" s="714"/>
      <c r="G401" s="714"/>
      <c r="H401" s="411">
        <f t="shared" si="16"/>
        <v>8281.3815703311648</v>
      </c>
      <c r="I401" s="416"/>
      <c r="J401" s="767"/>
    </row>
    <row r="402" spans="1:10" ht="15.75">
      <c r="A402" s="426" t="s">
        <v>435</v>
      </c>
      <c r="B402" s="428" t="s">
        <v>112</v>
      </c>
      <c r="C402" s="410"/>
      <c r="D402" s="787">
        <f>'ESTIMATIVA DE HORAS TÉCNICAS'!F405*'ESTIMATIVA DE HORAS TÉCNICAS'!F$943+'ESTIMATIVA DE HORAS TÉCNICAS'!G405*'ESTIMATIVA DE HORAS TÉCNICAS'!F$942+'ESTIMATIVA DE HORAS TÉCNICAS'!H405*'ESTIMATIVA DE HORAS TÉCNICAS'!F$941+'ESTIMATIVA DE HORAS TÉCNICAS'!I405*'ESTIMATIVA DE HORAS TÉCNICAS'!F$945+'ESTIMATIVA DE HORAS TÉCNICAS'!J405*'ESTIMATIVA DE HORAS TÉCNICAS'!F$946+'ESTIMATIVA DE HORAS TÉCNICAS'!K405*'ESTIMATIVA DE HORAS TÉCNICAS'!$F$944+'ESTIMATIVA DE HORAS TÉCNICAS'!L405*'ESTIMATIVA DE HORAS TÉCNICAS'!F$951+'ESTIMATIVA DE HORAS TÉCNICAS'!M405*'ESTIMATIVA DE HORAS TÉCNICAS'!F$950+'ESTIMATIVA DE HORAS TÉCNICAS'!N405*'ESTIMATIVA DE HORAS TÉCNICAS'!F$949+'ESTIMATIVA DE HORAS TÉCNICAS'!O405*'ESTIMATIVA DE HORAS TÉCNICAS'!F$948+'ESTIMATIVA DE HORAS TÉCNICAS'!P405*'ESTIMATIVA DE HORAS TÉCNICAS'!$F$947+'ESTIMATIVA DE HORAS TÉCNICAS'!Q405*'ESTIMATIVA DE HORAS TÉCNICAS'!F$953+'ESTIMATIVA DE HORAS TÉCNICAS'!R405*'ESTIMATIVA DE HORAS TÉCNICAS'!F$954</f>
        <v>1786.6500537385882</v>
      </c>
      <c r="E402" s="411">
        <f>'CALCULO DO FATO K'!D$10</f>
        <v>2.3175723620309046</v>
      </c>
      <c r="F402" s="714"/>
      <c r="G402" s="714"/>
      <c r="H402" s="411">
        <f t="shared" si="16"/>
        <v>4140.6907851655824</v>
      </c>
      <c r="I402" s="416"/>
      <c r="J402" s="767"/>
    </row>
    <row r="403" spans="1:10" ht="15.75">
      <c r="A403" s="426" t="s">
        <v>436</v>
      </c>
      <c r="B403" s="428" t="s">
        <v>105</v>
      </c>
      <c r="C403" s="410"/>
      <c r="D403" s="787">
        <f>'ESTIMATIVA DE HORAS TÉCNICAS'!F406*'ESTIMATIVA DE HORAS TÉCNICAS'!F$943+'ESTIMATIVA DE HORAS TÉCNICAS'!G406*'ESTIMATIVA DE HORAS TÉCNICAS'!F$942+'ESTIMATIVA DE HORAS TÉCNICAS'!H406*'ESTIMATIVA DE HORAS TÉCNICAS'!F$941+'ESTIMATIVA DE HORAS TÉCNICAS'!I406*'ESTIMATIVA DE HORAS TÉCNICAS'!F$945+'ESTIMATIVA DE HORAS TÉCNICAS'!J406*'ESTIMATIVA DE HORAS TÉCNICAS'!F$946+'ESTIMATIVA DE HORAS TÉCNICAS'!K406*'ESTIMATIVA DE HORAS TÉCNICAS'!$F$944+'ESTIMATIVA DE HORAS TÉCNICAS'!L406*'ESTIMATIVA DE HORAS TÉCNICAS'!F$951+'ESTIMATIVA DE HORAS TÉCNICAS'!M406*'ESTIMATIVA DE HORAS TÉCNICAS'!F$950+'ESTIMATIVA DE HORAS TÉCNICAS'!N406*'ESTIMATIVA DE HORAS TÉCNICAS'!F$949+'ESTIMATIVA DE HORAS TÉCNICAS'!O406*'ESTIMATIVA DE HORAS TÉCNICAS'!F$948+'ESTIMATIVA DE HORAS TÉCNICAS'!P406*'ESTIMATIVA DE HORAS TÉCNICAS'!$F$947+'ESTIMATIVA DE HORAS TÉCNICAS'!Q406*'ESTIMATIVA DE HORAS TÉCNICAS'!F$953+'ESTIMATIVA DE HORAS TÉCNICAS'!R406*'ESTIMATIVA DE HORAS TÉCNICAS'!F$954</f>
        <v>1786.6500537385882</v>
      </c>
      <c r="E403" s="411">
        <f>'CALCULO DO FATO K'!D$10</f>
        <v>2.3175723620309046</v>
      </c>
      <c r="F403" s="714"/>
      <c r="G403" s="714"/>
      <c r="H403" s="411">
        <f t="shared" si="16"/>
        <v>4140.6907851655824</v>
      </c>
      <c r="I403" s="416"/>
      <c r="J403" s="767"/>
    </row>
    <row r="404" spans="1:10" ht="15.75">
      <c r="A404" s="426" t="s">
        <v>437</v>
      </c>
      <c r="B404" s="428" t="s">
        <v>142</v>
      </c>
      <c r="C404" s="410"/>
      <c r="D404" s="787">
        <f>'ESTIMATIVA DE HORAS TÉCNICAS'!F407*'ESTIMATIVA DE HORAS TÉCNICAS'!F$943+'ESTIMATIVA DE HORAS TÉCNICAS'!G407*'ESTIMATIVA DE HORAS TÉCNICAS'!F$942+'ESTIMATIVA DE HORAS TÉCNICAS'!H407*'ESTIMATIVA DE HORAS TÉCNICAS'!F$941+'ESTIMATIVA DE HORAS TÉCNICAS'!I407*'ESTIMATIVA DE HORAS TÉCNICAS'!F$945+'ESTIMATIVA DE HORAS TÉCNICAS'!J407*'ESTIMATIVA DE HORAS TÉCNICAS'!F$946+'ESTIMATIVA DE HORAS TÉCNICAS'!K407*'ESTIMATIVA DE HORAS TÉCNICAS'!$F$944+'ESTIMATIVA DE HORAS TÉCNICAS'!L407*'ESTIMATIVA DE HORAS TÉCNICAS'!F$951+'ESTIMATIVA DE HORAS TÉCNICAS'!M407*'ESTIMATIVA DE HORAS TÉCNICAS'!F$950+'ESTIMATIVA DE HORAS TÉCNICAS'!N407*'ESTIMATIVA DE HORAS TÉCNICAS'!F$949+'ESTIMATIVA DE HORAS TÉCNICAS'!O407*'ESTIMATIVA DE HORAS TÉCNICAS'!F$948+'ESTIMATIVA DE HORAS TÉCNICAS'!P407*'ESTIMATIVA DE HORAS TÉCNICAS'!$F$947+'ESTIMATIVA DE HORAS TÉCNICAS'!Q407*'ESTIMATIVA DE HORAS TÉCNICAS'!F$953+'ESTIMATIVA DE HORAS TÉCNICAS'!R407*'ESTIMATIVA DE HORAS TÉCNICAS'!F$954</f>
        <v>4466.6251343464701</v>
      </c>
      <c r="E404" s="411">
        <f>'CALCULO DO FATO K'!D$10</f>
        <v>2.3175723620309046</v>
      </c>
      <c r="F404" s="714"/>
      <c r="G404" s="714"/>
      <c r="H404" s="411">
        <f t="shared" si="16"/>
        <v>10351.726962913956</v>
      </c>
      <c r="I404" s="416"/>
      <c r="J404" s="767"/>
    </row>
    <row r="405" spans="1:10" ht="15.75">
      <c r="A405" s="426" t="s">
        <v>438</v>
      </c>
      <c r="B405" s="428" t="s">
        <v>150</v>
      </c>
      <c r="C405" s="410"/>
      <c r="D405" s="787">
        <f>'ESTIMATIVA DE HORAS TÉCNICAS'!F408*'ESTIMATIVA DE HORAS TÉCNICAS'!F$943+'ESTIMATIVA DE HORAS TÉCNICAS'!G408*'ESTIMATIVA DE HORAS TÉCNICAS'!F$942+'ESTIMATIVA DE HORAS TÉCNICAS'!H408*'ESTIMATIVA DE HORAS TÉCNICAS'!F$941+'ESTIMATIVA DE HORAS TÉCNICAS'!I408*'ESTIMATIVA DE HORAS TÉCNICAS'!F$945+'ESTIMATIVA DE HORAS TÉCNICAS'!J408*'ESTIMATIVA DE HORAS TÉCNICAS'!F$946+'ESTIMATIVA DE HORAS TÉCNICAS'!K408*'ESTIMATIVA DE HORAS TÉCNICAS'!$F$944+'ESTIMATIVA DE HORAS TÉCNICAS'!L408*'ESTIMATIVA DE HORAS TÉCNICAS'!F$951+'ESTIMATIVA DE HORAS TÉCNICAS'!M408*'ESTIMATIVA DE HORAS TÉCNICAS'!F$950+'ESTIMATIVA DE HORAS TÉCNICAS'!N408*'ESTIMATIVA DE HORAS TÉCNICAS'!F$949+'ESTIMATIVA DE HORAS TÉCNICAS'!O408*'ESTIMATIVA DE HORAS TÉCNICAS'!F$948+'ESTIMATIVA DE HORAS TÉCNICAS'!P408*'ESTIMATIVA DE HORAS TÉCNICAS'!$F$947+'ESTIMATIVA DE HORAS TÉCNICAS'!Q408*'ESTIMATIVA DE HORAS TÉCNICAS'!F$953+'ESTIMATIVA DE HORAS TÉCNICAS'!R408*'ESTIMATIVA DE HORAS TÉCNICAS'!F$954</f>
        <v>1786.6500537385882</v>
      </c>
      <c r="E405" s="411">
        <f>'CALCULO DO FATO K'!D$10</f>
        <v>2.3175723620309046</v>
      </c>
      <c r="F405" s="714"/>
      <c r="G405" s="714"/>
      <c r="H405" s="411">
        <f t="shared" si="16"/>
        <v>4140.6907851655824</v>
      </c>
      <c r="I405" s="416">
        <f>SUM(H400:H405)</f>
        <v>41406.907851655822</v>
      </c>
      <c r="J405" s="767"/>
    </row>
    <row r="406" spans="1:10" s="532" customFormat="1" ht="15.75">
      <c r="A406" s="426"/>
      <c r="B406" s="428"/>
      <c r="C406" s="410"/>
      <c r="D406" s="787"/>
      <c r="E406" s="411"/>
      <c r="F406" s="714"/>
      <c r="G406" s="714"/>
      <c r="H406" s="411"/>
      <c r="I406" s="416"/>
      <c r="J406" s="767"/>
    </row>
    <row r="407" spans="1:10" s="284" customFormat="1" ht="15.75">
      <c r="A407" s="426"/>
      <c r="B407" s="768"/>
      <c r="C407" s="410"/>
      <c r="D407" s="787"/>
      <c r="E407" s="411"/>
      <c r="F407" s="714"/>
      <c r="G407" s="714"/>
      <c r="H407" s="411"/>
      <c r="I407" s="416"/>
      <c r="J407" s="767"/>
    </row>
    <row r="408" spans="1:10" ht="15.75">
      <c r="A408" s="391" t="s">
        <v>439</v>
      </c>
      <c r="B408" s="427" t="s">
        <v>193</v>
      </c>
      <c r="C408" s="478"/>
      <c r="D408" s="480"/>
      <c r="E408" s="475"/>
      <c r="F408" s="475"/>
      <c r="G408" s="475"/>
      <c r="H408" s="475"/>
      <c r="I408" s="476"/>
      <c r="J408" s="767"/>
    </row>
    <row r="409" spans="1:10" ht="15.75">
      <c r="A409" s="426" t="s">
        <v>440</v>
      </c>
      <c r="B409" s="428" t="s">
        <v>326</v>
      </c>
      <c r="C409" s="410"/>
      <c r="D409" s="787">
        <f>'ESTIMATIVA DE HORAS TÉCNICAS'!F412*'ESTIMATIVA DE HORAS TÉCNICAS'!F$943+'ESTIMATIVA DE HORAS TÉCNICAS'!G412*'ESTIMATIVA DE HORAS TÉCNICAS'!F$942+'ESTIMATIVA DE HORAS TÉCNICAS'!H412*'ESTIMATIVA DE HORAS TÉCNICAS'!F$941+'ESTIMATIVA DE HORAS TÉCNICAS'!I412*'ESTIMATIVA DE HORAS TÉCNICAS'!F$945+'ESTIMATIVA DE HORAS TÉCNICAS'!J412*'ESTIMATIVA DE HORAS TÉCNICAS'!F$946+'ESTIMATIVA DE HORAS TÉCNICAS'!K412*'ESTIMATIVA DE HORAS TÉCNICAS'!$F$944+'ESTIMATIVA DE HORAS TÉCNICAS'!L412*'ESTIMATIVA DE HORAS TÉCNICAS'!F$951+'ESTIMATIVA DE HORAS TÉCNICAS'!M412*'ESTIMATIVA DE HORAS TÉCNICAS'!F$950+'ESTIMATIVA DE HORAS TÉCNICAS'!N412*'ESTIMATIVA DE HORAS TÉCNICAS'!F$949+'ESTIMATIVA DE HORAS TÉCNICAS'!O412*'ESTIMATIVA DE HORAS TÉCNICAS'!F$948+'ESTIMATIVA DE HORAS TÉCNICAS'!P412*'ESTIMATIVA DE HORAS TÉCNICAS'!$F$947+'ESTIMATIVA DE HORAS TÉCNICAS'!Q412*'ESTIMATIVA DE HORAS TÉCNICAS'!F$953+'ESTIMATIVA DE HORAS TÉCNICAS'!R412*'ESTIMATIVA DE HORAS TÉCNICAS'!F$954</f>
        <v>8094.9935237778791</v>
      </c>
      <c r="E409" s="411">
        <f>'CALCULO DO FATO K'!D$10</f>
        <v>2.3175723620309046</v>
      </c>
      <c r="F409" s="714"/>
      <c r="G409" s="714"/>
      <c r="H409" s="411">
        <f t="shared" ref="H409:H415" si="17">D409*E409</f>
        <v>18760.733261526773</v>
      </c>
      <c r="I409" s="416"/>
      <c r="J409" s="767"/>
    </row>
    <row r="410" spans="1:10" ht="15.75">
      <c r="A410" s="426" t="s">
        <v>441</v>
      </c>
      <c r="B410" s="428" t="s">
        <v>135</v>
      </c>
      <c r="C410" s="410"/>
      <c r="D410" s="787">
        <f>'ESTIMATIVA DE HORAS TÉCNICAS'!F413*'ESTIMATIVA DE HORAS TÉCNICAS'!F$943+'ESTIMATIVA DE HORAS TÉCNICAS'!G413*'ESTIMATIVA DE HORAS TÉCNICAS'!F$942+'ESTIMATIVA DE HORAS TÉCNICAS'!H413*'ESTIMATIVA DE HORAS TÉCNICAS'!F$941+'ESTIMATIVA DE HORAS TÉCNICAS'!I413*'ESTIMATIVA DE HORAS TÉCNICAS'!F$945+'ESTIMATIVA DE HORAS TÉCNICAS'!J413*'ESTIMATIVA DE HORAS TÉCNICAS'!F$946+'ESTIMATIVA DE HORAS TÉCNICAS'!K413*'ESTIMATIVA DE HORAS TÉCNICAS'!$F$944+'ESTIMATIVA DE HORAS TÉCNICAS'!L413*'ESTIMATIVA DE HORAS TÉCNICAS'!F$951+'ESTIMATIVA DE HORAS TÉCNICAS'!M413*'ESTIMATIVA DE HORAS TÉCNICAS'!F$950+'ESTIMATIVA DE HORAS TÉCNICAS'!N413*'ESTIMATIVA DE HORAS TÉCNICAS'!F$949+'ESTIMATIVA DE HORAS TÉCNICAS'!O413*'ESTIMATIVA DE HORAS TÉCNICAS'!F$948+'ESTIMATIVA DE HORAS TÉCNICAS'!P413*'ESTIMATIVA DE HORAS TÉCNICAS'!$F$947+'ESTIMATIVA DE HORAS TÉCNICAS'!Q413*'ESTIMATIVA DE HORAS TÉCNICAS'!F$953+'ESTIMATIVA DE HORAS TÉCNICAS'!R413*'ESTIMATIVA DE HORAS TÉCNICAS'!F$954</f>
        <v>5396.6623491852552</v>
      </c>
      <c r="E410" s="411">
        <f>'CALCULO DO FATO K'!D$10</f>
        <v>2.3175723620309046</v>
      </c>
      <c r="F410" s="714"/>
      <c r="G410" s="714"/>
      <c r="H410" s="411">
        <f t="shared" si="17"/>
        <v>12507.155507684522</v>
      </c>
      <c r="I410" s="416"/>
      <c r="J410" s="767"/>
    </row>
    <row r="411" spans="1:10" ht="15.75">
      <c r="A411" s="426" t="s">
        <v>442</v>
      </c>
      <c r="B411" s="428" t="s">
        <v>105</v>
      </c>
      <c r="C411" s="410"/>
      <c r="D411" s="787">
        <f>'ESTIMATIVA DE HORAS TÉCNICAS'!F414*'ESTIMATIVA DE HORAS TÉCNICAS'!F$943+'ESTIMATIVA DE HORAS TÉCNICAS'!G414*'ESTIMATIVA DE HORAS TÉCNICAS'!F$942+'ESTIMATIVA DE HORAS TÉCNICAS'!H414*'ESTIMATIVA DE HORAS TÉCNICAS'!F$941+'ESTIMATIVA DE HORAS TÉCNICAS'!I414*'ESTIMATIVA DE HORAS TÉCNICAS'!F$945+'ESTIMATIVA DE HORAS TÉCNICAS'!J414*'ESTIMATIVA DE HORAS TÉCNICAS'!F$946+'ESTIMATIVA DE HORAS TÉCNICAS'!K414*'ESTIMATIVA DE HORAS TÉCNICAS'!$F$944+'ESTIMATIVA DE HORAS TÉCNICAS'!L414*'ESTIMATIVA DE HORAS TÉCNICAS'!F$951+'ESTIMATIVA DE HORAS TÉCNICAS'!M414*'ESTIMATIVA DE HORAS TÉCNICAS'!F$950+'ESTIMATIVA DE HORAS TÉCNICAS'!N414*'ESTIMATIVA DE HORAS TÉCNICAS'!F$949+'ESTIMATIVA DE HORAS TÉCNICAS'!O414*'ESTIMATIVA DE HORAS TÉCNICAS'!F$948+'ESTIMATIVA DE HORAS TÉCNICAS'!P414*'ESTIMATIVA DE HORAS TÉCNICAS'!$F$947+'ESTIMATIVA DE HORAS TÉCNICAS'!Q414*'ESTIMATIVA DE HORAS TÉCNICAS'!F$953+'ESTIMATIVA DE HORAS TÉCNICAS'!R414*'ESTIMATIVA DE HORAS TÉCNICAS'!F$954</f>
        <v>8094.9935237778791</v>
      </c>
      <c r="E411" s="411">
        <f>'CALCULO DO FATO K'!D$10</f>
        <v>2.3175723620309046</v>
      </c>
      <c r="F411" s="714"/>
      <c r="G411" s="714"/>
      <c r="H411" s="411">
        <f t="shared" si="17"/>
        <v>18760.733261526773</v>
      </c>
      <c r="I411" s="416"/>
      <c r="J411" s="767"/>
    </row>
    <row r="412" spans="1:10" ht="15.75">
      <c r="A412" s="426" t="s">
        <v>443</v>
      </c>
      <c r="B412" s="428" t="s">
        <v>142</v>
      </c>
      <c r="C412" s="410"/>
      <c r="D412" s="787">
        <f>'ESTIMATIVA DE HORAS TÉCNICAS'!F415*'ESTIMATIVA DE HORAS TÉCNICAS'!F$943+'ESTIMATIVA DE HORAS TÉCNICAS'!G415*'ESTIMATIVA DE HORAS TÉCNICAS'!F$942+'ESTIMATIVA DE HORAS TÉCNICAS'!H415*'ESTIMATIVA DE HORAS TÉCNICAS'!F$941+'ESTIMATIVA DE HORAS TÉCNICAS'!I415*'ESTIMATIVA DE HORAS TÉCNICAS'!F$945+'ESTIMATIVA DE HORAS TÉCNICAS'!J415*'ESTIMATIVA DE HORAS TÉCNICAS'!F$946+'ESTIMATIVA DE HORAS TÉCNICAS'!K415*'ESTIMATIVA DE HORAS TÉCNICAS'!$F$944+'ESTIMATIVA DE HORAS TÉCNICAS'!L415*'ESTIMATIVA DE HORAS TÉCNICAS'!F$951+'ESTIMATIVA DE HORAS TÉCNICAS'!M415*'ESTIMATIVA DE HORAS TÉCNICAS'!F$950+'ESTIMATIVA DE HORAS TÉCNICAS'!N415*'ESTIMATIVA DE HORAS TÉCNICAS'!F$949+'ESTIMATIVA DE HORAS TÉCNICAS'!O415*'ESTIMATIVA DE HORAS TÉCNICAS'!F$948+'ESTIMATIVA DE HORAS TÉCNICAS'!P415*'ESTIMATIVA DE HORAS TÉCNICAS'!$F$947+'ESTIMATIVA DE HORAS TÉCNICAS'!Q415*'ESTIMATIVA DE HORAS TÉCNICAS'!F$953+'ESTIMATIVA DE HORAS TÉCNICAS'!R415*'ESTIMATIVA DE HORAS TÉCNICAS'!F$954</f>
        <v>13491.655872963136</v>
      </c>
      <c r="E412" s="411">
        <f>'CALCULO DO FATO K'!D$10</f>
        <v>2.3175723620309046</v>
      </c>
      <c r="F412" s="714"/>
      <c r="G412" s="714"/>
      <c r="H412" s="411">
        <f t="shared" si="17"/>
        <v>31267.888769211302</v>
      </c>
      <c r="I412" s="416"/>
      <c r="J412" s="767"/>
    </row>
    <row r="413" spans="1:10" ht="15.75">
      <c r="A413" s="426" t="s">
        <v>444</v>
      </c>
      <c r="B413" s="428" t="s">
        <v>150</v>
      </c>
      <c r="C413" s="410"/>
      <c r="D413" s="787">
        <f>'ESTIMATIVA DE HORAS TÉCNICAS'!F416*'ESTIMATIVA DE HORAS TÉCNICAS'!F$943+'ESTIMATIVA DE HORAS TÉCNICAS'!G416*'ESTIMATIVA DE HORAS TÉCNICAS'!F$942+'ESTIMATIVA DE HORAS TÉCNICAS'!H416*'ESTIMATIVA DE HORAS TÉCNICAS'!F$941+'ESTIMATIVA DE HORAS TÉCNICAS'!I416*'ESTIMATIVA DE HORAS TÉCNICAS'!F$945+'ESTIMATIVA DE HORAS TÉCNICAS'!J416*'ESTIMATIVA DE HORAS TÉCNICAS'!F$946+'ESTIMATIVA DE HORAS TÉCNICAS'!K416*'ESTIMATIVA DE HORAS TÉCNICAS'!$F$944+'ESTIMATIVA DE HORAS TÉCNICAS'!L416*'ESTIMATIVA DE HORAS TÉCNICAS'!F$951+'ESTIMATIVA DE HORAS TÉCNICAS'!M416*'ESTIMATIVA DE HORAS TÉCNICAS'!F$950+'ESTIMATIVA DE HORAS TÉCNICAS'!N416*'ESTIMATIVA DE HORAS TÉCNICAS'!F$949+'ESTIMATIVA DE HORAS TÉCNICAS'!O416*'ESTIMATIVA DE HORAS TÉCNICAS'!F$948+'ESTIMATIVA DE HORAS TÉCNICAS'!P416*'ESTIMATIVA DE HORAS TÉCNICAS'!$F$947+'ESTIMATIVA DE HORAS TÉCNICAS'!Q416*'ESTIMATIVA DE HORAS TÉCNICAS'!F$953+'ESTIMATIVA DE HORAS TÉCNICAS'!R416*'ESTIMATIVA DE HORAS TÉCNICAS'!F$954</f>
        <v>8094.9935237778791</v>
      </c>
      <c r="E413" s="411">
        <f>'CALCULO DO FATO K'!D$10</f>
        <v>2.3175723620309046</v>
      </c>
      <c r="F413" s="714"/>
      <c r="G413" s="714"/>
      <c r="H413" s="411">
        <f t="shared" si="17"/>
        <v>18760.733261526773</v>
      </c>
      <c r="I413" s="416"/>
      <c r="J413" s="767"/>
    </row>
    <row r="414" spans="1:10" ht="15.75">
      <c r="A414" s="426" t="s">
        <v>445</v>
      </c>
      <c r="B414" s="428" t="s">
        <v>213</v>
      </c>
      <c r="C414" s="410"/>
      <c r="D414" s="787">
        <f>'ESTIMATIVA DE HORAS TÉCNICAS'!F417*'ESTIMATIVA DE HORAS TÉCNICAS'!F$943+'ESTIMATIVA DE HORAS TÉCNICAS'!G417*'ESTIMATIVA DE HORAS TÉCNICAS'!F$942+'ESTIMATIVA DE HORAS TÉCNICAS'!H417*'ESTIMATIVA DE HORAS TÉCNICAS'!F$941+'ESTIMATIVA DE HORAS TÉCNICAS'!I417*'ESTIMATIVA DE HORAS TÉCNICAS'!F$945+'ESTIMATIVA DE HORAS TÉCNICAS'!J417*'ESTIMATIVA DE HORAS TÉCNICAS'!F$946+'ESTIMATIVA DE HORAS TÉCNICAS'!K417*'ESTIMATIVA DE HORAS TÉCNICAS'!$F$944+'ESTIMATIVA DE HORAS TÉCNICAS'!L417*'ESTIMATIVA DE HORAS TÉCNICAS'!F$951+'ESTIMATIVA DE HORAS TÉCNICAS'!M417*'ESTIMATIVA DE HORAS TÉCNICAS'!F$950+'ESTIMATIVA DE HORAS TÉCNICAS'!N417*'ESTIMATIVA DE HORAS TÉCNICAS'!F$949+'ESTIMATIVA DE HORAS TÉCNICAS'!O417*'ESTIMATIVA DE HORAS TÉCNICAS'!F$948+'ESTIMATIVA DE HORAS TÉCNICAS'!P417*'ESTIMATIVA DE HORAS TÉCNICAS'!$F$947+'ESTIMATIVA DE HORAS TÉCNICAS'!Q417*'ESTIMATIVA DE HORAS TÉCNICAS'!F$953+'ESTIMATIVA DE HORAS TÉCNICAS'!R417*'ESTIMATIVA DE HORAS TÉCNICAS'!F$954</f>
        <v>5396.6623491852552</v>
      </c>
      <c r="E414" s="411">
        <f>'CALCULO DO FATO K'!D$10</f>
        <v>2.3175723620309046</v>
      </c>
      <c r="F414" s="714"/>
      <c r="G414" s="714"/>
      <c r="H414" s="411">
        <f t="shared" si="17"/>
        <v>12507.155507684522</v>
      </c>
      <c r="I414" s="416"/>
      <c r="J414" s="767"/>
    </row>
    <row r="415" spans="1:10" ht="15.75">
      <c r="A415" s="426" t="s">
        <v>446</v>
      </c>
      <c r="B415" s="428" t="s">
        <v>152</v>
      </c>
      <c r="C415" s="410"/>
      <c r="D415" s="787">
        <f>'ESTIMATIVA DE HORAS TÉCNICAS'!F418*'ESTIMATIVA DE HORAS TÉCNICAS'!F$943+'ESTIMATIVA DE HORAS TÉCNICAS'!G418*'ESTIMATIVA DE HORAS TÉCNICAS'!F$942+'ESTIMATIVA DE HORAS TÉCNICAS'!H418*'ESTIMATIVA DE HORAS TÉCNICAS'!F$941+'ESTIMATIVA DE HORAS TÉCNICAS'!I418*'ESTIMATIVA DE HORAS TÉCNICAS'!F$945+'ESTIMATIVA DE HORAS TÉCNICAS'!J418*'ESTIMATIVA DE HORAS TÉCNICAS'!F$946+'ESTIMATIVA DE HORAS TÉCNICAS'!K418*'ESTIMATIVA DE HORAS TÉCNICAS'!$F$944+'ESTIMATIVA DE HORAS TÉCNICAS'!L418*'ESTIMATIVA DE HORAS TÉCNICAS'!F$951+'ESTIMATIVA DE HORAS TÉCNICAS'!M418*'ESTIMATIVA DE HORAS TÉCNICAS'!F$950+'ESTIMATIVA DE HORAS TÉCNICAS'!N418*'ESTIMATIVA DE HORAS TÉCNICAS'!F$949+'ESTIMATIVA DE HORAS TÉCNICAS'!O418*'ESTIMATIVA DE HORAS TÉCNICAS'!F$948+'ESTIMATIVA DE HORAS TÉCNICAS'!P418*'ESTIMATIVA DE HORAS TÉCNICAS'!$F$947+'ESTIMATIVA DE HORAS TÉCNICAS'!Q418*'ESTIMATIVA DE HORAS TÉCNICAS'!F$953+'ESTIMATIVA DE HORAS TÉCNICAS'!R418*'ESTIMATIVA DE HORAS TÉCNICAS'!F$954</f>
        <v>5396.6623491852552</v>
      </c>
      <c r="E415" s="411">
        <f>'CALCULO DO FATO K'!D$10</f>
        <v>2.3175723620309046</v>
      </c>
      <c r="F415" s="714"/>
      <c r="G415" s="714"/>
      <c r="H415" s="411">
        <f t="shared" si="17"/>
        <v>12507.155507684522</v>
      </c>
      <c r="I415" s="416">
        <f>SUM(H409:H415)</f>
        <v>125071.55507684519</v>
      </c>
      <c r="J415" s="767"/>
    </row>
    <row r="416" spans="1:10" s="532" customFormat="1" ht="15.75">
      <c r="A416" s="426"/>
      <c r="B416" s="428"/>
      <c r="C416" s="410"/>
      <c r="D416" s="787"/>
      <c r="E416" s="411"/>
      <c r="F416" s="714"/>
      <c r="G416" s="714"/>
      <c r="H416" s="411"/>
      <c r="I416" s="416"/>
      <c r="J416" s="767"/>
    </row>
    <row r="417" spans="1:10" s="284" customFormat="1" ht="15.75">
      <c r="A417" s="426"/>
      <c r="B417" s="768"/>
      <c r="C417" s="410"/>
      <c r="D417" s="787"/>
      <c r="E417" s="411"/>
      <c r="F417" s="714"/>
      <c r="G417" s="714"/>
      <c r="H417" s="411"/>
      <c r="I417" s="416"/>
      <c r="J417" s="767"/>
    </row>
    <row r="418" spans="1:10" ht="15.75">
      <c r="A418" s="391" t="s">
        <v>447</v>
      </c>
      <c r="B418" s="390" t="s">
        <v>198</v>
      </c>
      <c r="C418" s="478"/>
      <c r="D418" s="480"/>
      <c r="E418" s="475"/>
      <c r="F418" s="475"/>
      <c r="G418" s="475"/>
      <c r="H418" s="475"/>
      <c r="I418" s="476"/>
      <c r="J418" s="767"/>
    </row>
    <row r="419" spans="1:10" ht="15.75">
      <c r="A419" s="426" t="s">
        <v>448</v>
      </c>
      <c r="B419" s="428" t="s">
        <v>326</v>
      </c>
      <c r="C419" s="410"/>
      <c r="D419" s="787">
        <f>'ESTIMATIVA DE HORAS TÉCNICAS'!F422*'ESTIMATIVA DE HORAS TÉCNICAS'!F$943+'ESTIMATIVA DE HORAS TÉCNICAS'!G422*'ESTIMATIVA DE HORAS TÉCNICAS'!F$942+'ESTIMATIVA DE HORAS TÉCNICAS'!H422*'ESTIMATIVA DE HORAS TÉCNICAS'!F$941+'ESTIMATIVA DE HORAS TÉCNICAS'!I422*'ESTIMATIVA DE HORAS TÉCNICAS'!F$945+'ESTIMATIVA DE HORAS TÉCNICAS'!J422*'ESTIMATIVA DE HORAS TÉCNICAS'!F$946+'ESTIMATIVA DE HORAS TÉCNICAS'!K422*'ESTIMATIVA DE HORAS TÉCNICAS'!$F$944+'ESTIMATIVA DE HORAS TÉCNICAS'!L422*'ESTIMATIVA DE HORAS TÉCNICAS'!F$951+'ESTIMATIVA DE HORAS TÉCNICAS'!M422*'ESTIMATIVA DE HORAS TÉCNICAS'!F$950+'ESTIMATIVA DE HORAS TÉCNICAS'!N422*'ESTIMATIVA DE HORAS TÉCNICAS'!F$949+'ESTIMATIVA DE HORAS TÉCNICAS'!O422*'ESTIMATIVA DE HORAS TÉCNICAS'!F$948+'ESTIMATIVA DE HORAS TÉCNICAS'!P422*'ESTIMATIVA DE HORAS TÉCNICAS'!$F$947+'ESTIMATIVA DE HORAS TÉCNICAS'!Q422*'ESTIMATIVA DE HORAS TÉCNICAS'!F$953+'ESTIMATIVA DE HORAS TÉCNICAS'!R422*'ESTIMATIVA DE HORAS TÉCNICAS'!F$954</f>
        <v>3598.3393779614012</v>
      </c>
      <c r="E419" s="411">
        <f>'CALCULO DO FATO K'!D$10</f>
        <v>2.3175723620309046</v>
      </c>
      <c r="F419" s="714"/>
      <c r="G419" s="714"/>
      <c r="H419" s="411">
        <f t="shared" ref="H419:H425" si="18">D419*E419</f>
        <v>8339.4118915708204</v>
      </c>
      <c r="I419" s="416"/>
      <c r="J419" s="767"/>
    </row>
    <row r="420" spans="1:10" ht="15.75">
      <c r="A420" s="426" t="s">
        <v>449</v>
      </c>
      <c r="B420" s="428" t="s">
        <v>135</v>
      </c>
      <c r="C420" s="410"/>
      <c r="D420" s="787">
        <f>'ESTIMATIVA DE HORAS TÉCNICAS'!F423*'ESTIMATIVA DE HORAS TÉCNICAS'!F$943+'ESTIMATIVA DE HORAS TÉCNICAS'!G423*'ESTIMATIVA DE HORAS TÉCNICAS'!F$942+'ESTIMATIVA DE HORAS TÉCNICAS'!H423*'ESTIMATIVA DE HORAS TÉCNICAS'!F$941+'ESTIMATIVA DE HORAS TÉCNICAS'!I423*'ESTIMATIVA DE HORAS TÉCNICAS'!F$945+'ESTIMATIVA DE HORAS TÉCNICAS'!J423*'ESTIMATIVA DE HORAS TÉCNICAS'!F$946+'ESTIMATIVA DE HORAS TÉCNICAS'!K423*'ESTIMATIVA DE HORAS TÉCNICAS'!$F$944+'ESTIMATIVA DE HORAS TÉCNICAS'!L423*'ESTIMATIVA DE HORAS TÉCNICAS'!F$951+'ESTIMATIVA DE HORAS TÉCNICAS'!M423*'ESTIMATIVA DE HORAS TÉCNICAS'!F$950+'ESTIMATIVA DE HORAS TÉCNICAS'!N423*'ESTIMATIVA DE HORAS TÉCNICAS'!F$949+'ESTIMATIVA DE HORAS TÉCNICAS'!O423*'ESTIMATIVA DE HORAS TÉCNICAS'!F$948+'ESTIMATIVA DE HORAS TÉCNICAS'!P423*'ESTIMATIVA DE HORAS TÉCNICAS'!$F$947+'ESTIMATIVA DE HORAS TÉCNICAS'!Q423*'ESTIMATIVA DE HORAS TÉCNICAS'!F$953+'ESTIMATIVA DE HORAS TÉCNICAS'!R423*'ESTIMATIVA DE HORAS TÉCNICAS'!F$954</f>
        <v>2559.4381723101819</v>
      </c>
      <c r="E420" s="411">
        <f>'CALCULO DO FATO K'!D$10</f>
        <v>2.3175723620309046</v>
      </c>
      <c r="F420" s="714"/>
      <c r="G420" s="714"/>
      <c r="H420" s="411">
        <f t="shared" si="18"/>
        <v>5931.6831704729693</v>
      </c>
      <c r="I420" s="416"/>
      <c r="J420" s="767"/>
    </row>
    <row r="421" spans="1:10" ht="15.75">
      <c r="A421" s="426" t="s">
        <v>450</v>
      </c>
      <c r="B421" s="428" t="s">
        <v>105</v>
      </c>
      <c r="C421" s="410"/>
      <c r="D421" s="787">
        <f>'ESTIMATIVA DE HORAS TÉCNICAS'!F424*'ESTIMATIVA DE HORAS TÉCNICAS'!F$943+'ESTIMATIVA DE HORAS TÉCNICAS'!G424*'ESTIMATIVA DE HORAS TÉCNICAS'!F$942+'ESTIMATIVA DE HORAS TÉCNICAS'!H424*'ESTIMATIVA DE HORAS TÉCNICAS'!F$941+'ESTIMATIVA DE HORAS TÉCNICAS'!I424*'ESTIMATIVA DE HORAS TÉCNICAS'!F$945+'ESTIMATIVA DE HORAS TÉCNICAS'!J424*'ESTIMATIVA DE HORAS TÉCNICAS'!F$946+'ESTIMATIVA DE HORAS TÉCNICAS'!K424*'ESTIMATIVA DE HORAS TÉCNICAS'!$F$944+'ESTIMATIVA DE HORAS TÉCNICAS'!L424*'ESTIMATIVA DE HORAS TÉCNICAS'!F$951+'ESTIMATIVA DE HORAS TÉCNICAS'!M424*'ESTIMATIVA DE HORAS TÉCNICAS'!F$950+'ESTIMATIVA DE HORAS TÉCNICAS'!N424*'ESTIMATIVA DE HORAS TÉCNICAS'!F$949+'ESTIMATIVA DE HORAS TÉCNICAS'!O424*'ESTIMATIVA DE HORAS TÉCNICAS'!F$948+'ESTIMATIVA DE HORAS TÉCNICAS'!P424*'ESTIMATIVA DE HORAS TÉCNICAS'!$F$947+'ESTIMATIVA DE HORAS TÉCNICAS'!Q424*'ESTIMATIVA DE HORAS TÉCNICAS'!F$953+'ESTIMATIVA DE HORAS TÉCNICAS'!R424*'ESTIMATIVA DE HORAS TÉCNICAS'!F$954</f>
        <v>2559.4381723101819</v>
      </c>
      <c r="E421" s="411">
        <f>'CALCULO DO FATO K'!D$10</f>
        <v>2.3175723620309046</v>
      </c>
      <c r="F421" s="714"/>
      <c r="G421" s="714"/>
      <c r="H421" s="411">
        <f t="shared" si="18"/>
        <v>5931.6831704729693</v>
      </c>
      <c r="I421" s="416"/>
      <c r="J421" s="767"/>
    </row>
    <row r="422" spans="1:10" ht="15.75">
      <c r="A422" s="426" t="s">
        <v>451</v>
      </c>
      <c r="B422" s="428" t="s">
        <v>142</v>
      </c>
      <c r="C422" s="410"/>
      <c r="D422" s="787">
        <f>'ESTIMATIVA DE HORAS TÉCNICAS'!F425*'ESTIMATIVA DE HORAS TÉCNICAS'!F$943+'ESTIMATIVA DE HORAS TÉCNICAS'!G425*'ESTIMATIVA DE HORAS TÉCNICAS'!F$942+'ESTIMATIVA DE HORAS TÉCNICAS'!H425*'ESTIMATIVA DE HORAS TÉCNICAS'!F$941+'ESTIMATIVA DE HORAS TÉCNICAS'!I425*'ESTIMATIVA DE HORAS TÉCNICAS'!F$945+'ESTIMATIVA DE HORAS TÉCNICAS'!J425*'ESTIMATIVA DE HORAS TÉCNICAS'!F$946+'ESTIMATIVA DE HORAS TÉCNICAS'!K425*'ESTIMATIVA DE HORAS TÉCNICAS'!$F$944+'ESTIMATIVA DE HORAS TÉCNICAS'!L425*'ESTIMATIVA DE HORAS TÉCNICAS'!F$951+'ESTIMATIVA DE HORAS TÉCNICAS'!M425*'ESTIMATIVA DE HORAS TÉCNICAS'!F$950+'ESTIMATIVA DE HORAS TÉCNICAS'!N425*'ESTIMATIVA DE HORAS TÉCNICAS'!F$949+'ESTIMATIVA DE HORAS TÉCNICAS'!O425*'ESTIMATIVA DE HORAS TÉCNICAS'!F$948+'ESTIMATIVA DE HORAS TÉCNICAS'!P425*'ESTIMATIVA DE HORAS TÉCNICAS'!$F$947+'ESTIMATIVA DE HORAS TÉCNICAS'!Q425*'ESTIMATIVA DE HORAS TÉCNICAS'!F$953+'ESTIMATIVA DE HORAS TÉCNICAS'!R425*'ESTIMATIVA DE HORAS TÉCNICAS'!F$954</f>
        <v>5676.1417892638401</v>
      </c>
      <c r="E422" s="411">
        <f>'CALCULO DO FATO K'!D$10</f>
        <v>2.3175723620309046</v>
      </c>
      <c r="F422" s="714"/>
      <c r="G422" s="714"/>
      <c r="H422" s="411">
        <f t="shared" si="18"/>
        <v>13154.869333766523</v>
      </c>
      <c r="I422" s="416"/>
      <c r="J422" s="767"/>
    </row>
    <row r="423" spans="1:10" ht="15.75">
      <c r="A423" s="426" t="s">
        <v>452</v>
      </c>
      <c r="B423" s="428" t="s">
        <v>150</v>
      </c>
      <c r="C423" s="410"/>
      <c r="D423" s="787">
        <f>'ESTIMATIVA DE HORAS TÉCNICAS'!F426*'ESTIMATIVA DE HORAS TÉCNICAS'!F$943+'ESTIMATIVA DE HORAS TÉCNICAS'!G426*'ESTIMATIVA DE HORAS TÉCNICAS'!F$942+'ESTIMATIVA DE HORAS TÉCNICAS'!H426*'ESTIMATIVA DE HORAS TÉCNICAS'!F$941+'ESTIMATIVA DE HORAS TÉCNICAS'!I426*'ESTIMATIVA DE HORAS TÉCNICAS'!F$945+'ESTIMATIVA DE HORAS TÉCNICAS'!J426*'ESTIMATIVA DE HORAS TÉCNICAS'!F$946+'ESTIMATIVA DE HORAS TÉCNICAS'!K426*'ESTIMATIVA DE HORAS TÉCNICAS'!$F$944+'ESTIMATIVA DE HORAS TÉCNICAS'!L426*'ESTIMATIVA DE HORAS TÉCNICAS'!F$951+'ESTIMATIVA DE HORAS TÉCNICAS'!M426*'ESTIMATIVA DE HORAS TÉCNICAS'!F$950+'ESTIMATIVA DE HORAS TÉCNICAS'!N426*'ESTIMATIVA DE HORAS TÉCNICAS'!F$949+'ESTIMATIVA DE HORAS TÉCNICAS'!O426*'ESTIMATIVA DE HORAS TÉCNICAS'!F$948+'ESTIMATIVA DE HORAS TÉCNICAS'!P426*'ESTIMATIVA DE HORAS TÉCNICAS'!$F$947+'ESTIMATIVA DE HORAS TÉCNICAS'!Q426*'ESTIMATIVA DE HORAS TÉCNICAS'!F$953+'ESTIMATIVA DE HORAS TÉCNICAS'!R426*'ESTIMATIVA DE HORAS TÉCNICAS'!F$954</f>
        <v>3598.3393779614012</v>
      </c>
      <c r="E423" s="411">
        <f>'CALCULO DO FATO K'!D$10</f>
        <v>2.3175723620309046</v>
      </c>
      <c r="F423" s="714"/>
      <c r="G423" s="714"/>
      <c r="H423" s="411">
        <f t="shared" si="18"/>
        <v>8339.4118915708204</v>
      </c>
      <c r="I423" s="416"/>
      <c r="J423" s="767"/>
    </row>
    <row r="424" spans="1:10" ht="15.75">
      <c r="A424" s="426" t="s">
        <v>453</v>
      </c>
      <c r="B424" s="428" t="s">
        <v>213</v>
      </c>
      <c r="C424" s="410"/>
      <c r="D424" s="787">
        <f>'ESTIMATIVA DE HORAS TÉCNICAS'!F427*'ESTIMATIVA DE HORAS TÉCNICAS'!F$943+'ESTIMATIVA DE HORAS TÉCNICAS'!G427*'ESTIMATIVA DE HORAS TÉCNICAS'!F$942+'ESTIMATIVA DE HORAS TÉCNICAS'!H427*'ESTIMATIVA DE HORAS TÉCNICAS'!F$941+'ESTIMATIVA DE HORAS TÉCNICAS'!I427*'ESTIMATIVA DE HORAS TÉCNICAS'!F$945+'ESTIMATIVA DE HORAS TÉCNICAS'!J427*'ESTIMATIVA DE HORAS TÉCNICAS'!F$946+'ESTIMATIVA DE HORAS TÉCNICAS'!K427*'ESTIMATIVA DE HORAS TÉCNICAS'!$F$944+'ESTIMATIVA DE HORAS TÉCNICAS'!L427*'ESTIMATIVA DE HORAS TÉCNICAS'!F$951+'ESTIMATIVA DE HORAS TÉCNICAS'!M427*'ESTIMATIVA DE HORAS TÉCNICAS'!F$950+'ESTIMATIVA DE HORAS TÉCNICAS'!N427*'ESTIMATIVA DE HORAS TÉCNICAS'!F$949+'ESTIMATIVA DE HORAS TÉCNICAS'!O427*'ESTIMATIVA DE HORAS TÉCNICAS'!F$948+'ESTIMATIVA DE HORAS TÉCNICAS'!P427*'ESTIMATIVA DE HORAS TÉCNICAS'!$F$947+'ESTIMATIVA DE HORAS TÉCNICAS'!Q427*'ESTIMATIVA DE HORAS TÉCNICAS'!F$953+'ESTIMATIVA DE HORAS TÉCNICAS'!R427*'ESTIMATIVA DE HORAS TÉCNICAS'!F$954</f>
        <v>2077.8024113024389</v>
      </c>
      <c r="E424" s="411">
        <f>'CALCULO DO FATO K'!D$10</f>
        <v>2.3175723620309046</v>
      </c>
      <c r="F424" s="714"/>
      <c r="G424" s="714"/>
      <c r="H424" s="411">
        <f t="shared" si="18"/>
        <v>4815.4574421957022</v>
      </c>
      <c r="I424" s="416"/>
      <c r="J424" s="767"/>
    </row>
    <row r="425" spans="1:10" ht="15.75">
      <c r="A425" s="426" t="s">
        <v>454</v>
      </c>
      <c r="B425" s="428" t="s">
        <v>152</v>
      </c>
      <c r="C425" s="410"/>
      <c r="D425" s="787">
        <f>'ESTIMATIVA DE HORAS TÉCNICAS'!F428*'ESTIMATIVA DE HORAS TÉCNICAS'!F$943+'ESTIMATIVA DE HORAS TÉCNICAS'!G428*'ESTIMATIVA DE HORAS TÉCNICAS'!F$942+'ESTIMATIVA DE HORAS TÉCNICAS'!H428*'ESTIMATIVA DE HORAS TÉCNICAS'!F$941+'ESTIMATIVA DE HORAS TÉCNICAS'!I428*'ESTIMATIVA DE HORAS TÉCNICAS'!F$945+'ESTIMATIVA DE HORAS TÉCNICAS'!J428*'ESTIMATIVA DE HORAS TÉCNICAS'!F$946+'ESTIMATIVA DE HORAS TÉCNICAS'!K428*'ESTIMATIVA DE HORAS TÉCNICAS'!$F$944+'ESTIMATIVA DE HORAS TÉCNICAS'!L428*'ESTIMATIVA DE HORAS TÉCNICAS'!F$951+'ESTIMATIVA DE HORAS TÉCNICAS'!M428*'ESTIMATIVA DE HORAS TÉCNICAS'!F$950+'ESTIMATIVA DE HORAS TÉCNICAS'!N428*'ESTIMATIVA DE HORAS TÉCNICAS'!F$949+'ESTIMATIVA DE HORAS TÉCNICAS'!O428*'ESTIMATIVA DE HORAS TÉCNICAS'!F$948+'ESTIMATIVA DE HORAS TÉCNICAS'!P428*'ESTIMATIVA DE HORAS TÉCNICAS'!$F$947+'ESTIMATIVA DE HORAS TÉCNICAS'!Q428*'ESTIMATIVA DE HORAS TÉCNICAS'!F$953+'ESTIMATIVA DE HORAS TÉCNICAS'!R428*'ESTIMATIVA DE HORAS TÉCNICAS'!F$954</f>
        <v>3116.7036169536582</v>
      </c>
      <c r="E425" s="411">
        <f>'CALCULO DO FATO K'!D$10</f>
        <v>2.3175723620309046</v>
      </c>
      <c r="F425" s="714"/>
      <c r="G425" s="714"/>
      <c r="H425" s="411">
        <f t="shared" si="18"/>
        <v>7223.1861632935534</v>
      </c>
      <c r="I425" s="416">
        <f>SUM(H419:H425)</f>
        <v>53735.703063343361</v>
      </c>
      <c r="J425" s="767"/>
    </row>
    <row r="426" spans="1:10" s="532" customFormat="1" ht="15.75">
      <c r="A426" s="426"/>
      <c r="B426" s="428"/>
      <c r="C426" s="410"/>
      <c r="D426" s="787"/>
      <c r="E426" s="411"/>
      <c r="F426" s="714"/>
      <c r="G426" s="714"/>
      <c r="H426" s="411"/>
      <c r="I426" s="416"/>
      <c r="J426" s="767"/>
    </row>
    <row r="427" spans="1:10" ht="15.75">
      <c r="A427" s="426"/>
      <c r="B427" s="768"/>
      <c r="C427" s="409"/>
      <c r="D427" s="787"/>
      <c r="E427" s="714"/>
      <c r="F427" s="714"/>
      <c r="G427" s="714"/>
      <c r="H427" s="714"/>
      <c r="I427" s="416"/>
      <c r="J427" s="767"/>
    </row>
    <row r="428" spans="1:10" ht="15.75">
      <c r="A428" s="391" t="s">
        <v>455</v>
      </c>
      <c r="B428" s="367" t="s">
        <v>203</v>
      </c>
      <c r="C428" s="474"/>
      <c r="D428" s="480"/>
      <c r="E428" s="475"/>
      <c r="F428" s="475"/>
      <c r="G428" s="475"/>
      <c r="H428" s="475"/>
      <c r="I428" s="476"/>
      <c r="J428" s="767"/>
    </row>
    <row r="429" spans="1:10" ht="15.75">
      <c r="A429" s="426" t="s">
        <v>456</v>
      </c>
      <c r="B429" s="428" t="s">
        <v>326</v>
      </c>
      <c r="C429" s="409"/>
      <c r="D429" s="787">
        <f>'ESTIMATIVA DE HORAS TÉCNICAS'!F432*'ESTIMATIVA DE HORAS TÉCNICAS'!F$943+'ESTIMATIVA DE HORAS TÉCNICAS'!G432*'ESTIMATIVA DE HORAS TÉCNICAS'!F$942+'ESTIMATIVA DE HORAS TÉCNICAS'!H432*'ESTIMATIVA DE HORAS TÉCNICAS'!F$941+'ESTIMATIVA DE HORAS TÉCNICAS'!I432*'ESTIMATIVA DE HORAS TÉCNICAS'!F$945+'ESTIMATIVA DE HORAS TÉCNICAS'!J432*'ESTIMATIVA DE HORAS TÉCNICAS'!F$946+'ESTIMATIVA DE HORAS TÉCNICAS'!K432*'ESTIMATIVA DE HORAS TÉCNICAS'!$F$944+'ESTIMATIVA DE HORAS TÉCNICAS'!L432*'ESTIMATIVA DE HORAS TÉCNICAS'!F$951+'ESTIMATIVA DE HORAS TÉCNICAS'!M432*'ESTIMATIVA DE HORAS TÉCNICAS'!F$950+'ESTIMATIVA DE HORAS TÉCNICAS'!N432*'ESTIMATIVA DE HORAS TÉCNICAS'!F$949+'ESTIMATIVA DE HORAS TÉCNICAS'!O432*'ESTIMATIVA DE HORAS TÉCNICAS'!F$948+'ESTIMATIVA DE HORAS TÉCNICAS'!P432*'ESTIMATIVA DE HORAS TÉCNICAS'!$F$947+'ESTIMATIVA DE HORAS TÉCNICAS'!Q432*'ESTIMATIVA DE HORAS TÉCNICAS'!F$953+'ESTIMATIVA DE HORAS TÉCNICAS'!R432*'ESTIMATIVA DE HORAS TÉCNICAS'!F$954</f>
        <v>1409.9172537848146</v>
      </c>
      <c r="E429" s="411">
        <f>'CALCULO DO FATO K'!D$10</f>
        <v>2.3175723620309046</v>
      </c>
      <c r="F429" s="714"/>
      <c r="G429" s="714"/>
      <c r="H429" s="411">
        <f t="shared" ref="H429:H435" si="19">D429*E429</f>
        <v>3267.5852601221991</v>
      </c>
      <c r="I429" s="416"/>
      <c r="J429" s="767"/>
    </row>
    <row r="430" spans="1:10" s="532" customFormat="1" ht="15.75">
      <c r="A430" s="426" t="s">
        <v>457</v>
      </c>
      <c r="B430" s="428" t="s">
        <v>135</v>
      </c>
      <c r="C430" s="409"/>
      <c r="D430" s="787">
        <f>'ESTIMATIVA DE HORAS TÉCNICAS'!F433*'ESTIMATIVA DE HORAS TÉCNICAS'!F$943+'ESTIMATIVA DE HORAS TÉCNICAS'!G433*'ESTIMATIVA DE HORAS TÉCNICAS'!F$942+'ESTIMATIVA DE HORAS TÉCNICAS'!H433*'ESTIMATIVA DE HORAS TÉCNICAS'!F$941+'ESTIMATIVA DE HORAS TÉCNICAS'!I433*'ESTIMATIVA DE HORAS TÉCNICAS'!F$945+'ESTIMATIVA DE HORAS TÉCNICAS'!J433*'ESTIMATIVA DE HORAS TÉCNICAS'!F$946+'ESTIMATIVA DE HORAS TÉCNICAS'!K433*'ESTIMATIVA DE HORAS TÉCNICAS'!$F$944+'ESTIMATIVA DE HORAS TÉCNICAS'!L433*'ESTIMATIVA DE HORAS TÉCNICAS'!F$951+'ESTIMATIVA DE HORAS TÉCNICAS'!M433*'ESTIMATIVA DE HORAS TÉCNICAS'!F$950+'ESTIMATIVA DE HORAS TÉCNICAS'!N433*'ESTIMATIVA DE HORAS TÉCNICAS'!F$949+'ESTIMATIVA DE HORAS TÉCNICAS'!O433*'ESTIMATIVA DE HORAS TÉCNICAS'!F$948+'ESTIMATIVA DE HORAS TÉCNICAS'!P433*'ESTIMATIVA DE HORAS TÉCNICAS'!$F$947+'ESTIMATIVA DE HORAS TÉCNICAS'!Q433*'ESTIMATIVA DE HORAS TÉCNICAS'!F$953+'ESTIMATIVA DE HORAS TÉCNICAS'!R433*'ESTIMATIVA DE HORAS TÉCNICAS'!F$954</f>
        <v>1409.9172537848146</v>
      </c>
      <c r="E430" s="411">
        <f>'CALCULO DO FATO K'!D$10</f>
        <v>2.3175723620309046</v>
      </c>
      <c r="F430" s="714"/>
      <c r="G430" s="714"/>
      <c r="H430" s="411">
        <f t="shared" si="19"/>
        <v>3267.5852601221991</v>
      </c>
      <c r="I430" s="416"/>
      <c r="J430" s="767"/>
    </row>
    <row r="431" spans="1:10" ht="15.75">
      <c r="A431" s="426" t="s">
        <v>458</v>
      </c>
      <c r="B431" s="428" t="s">
        <v>213</v>
      </c>
      <c r="C431" s="409"/>
      <c r="D431" s="787">
        <f>'ESTIMATIVA DE HORAS TÉCNICAS'!F434*'ESTIMATIVA DE HORAS TÉCNICAS'!F$943+'ESTIMATIVA DE HORAS TÉCNICAS'!G434*'ESTIMATIVA DE HORAS TÉCNICAS'!F$942+'ESTIMATIVA DE HORAS TÉCNICAS'!H434*'ESTIMATIVA DE HORAS TÉCNICAS'!F$941+'ESTIMATIVA DE HORAS TÉCNICAS'!I434*'ESTIMATIVA DE HORAS TÉCNICAS'!F$945+'ESTIMATIVA DE HORAS TÉCNICAS'!J434*'ESTIMATIVA DE HORAS TÉCNICAS'!F$946+'ESTIMATIVA DE HORAS TÉCNICAS'!K434*'ESTIMATIVA DE HORAS TÉCNICAS'!$F$944+'ESTIMATIVA DE HORAS TÉCNICAS'!L434*'ESTIMATIVA DE HORAS TÉCNICAS'!F$951+'ESTIMATIVA DE HORAS TÉCNICAS'!M434*'ESTIMATIVA DE HORAS TÉCNICAS'!F$950+'ESTIMATIVA DE HORAS TÉCNICAS'!N434*'ESTIMATIVA DE HORAS TÉCNICAS'!F$949+'ESTIMATIVA DE HORAS TÉCNICAS'!O434*'ESTIMATIVA DE HORAS TÉCNICAS'!F$948+'ESTIMATIVA DE HORAS TÉCNICAS'!P434*'ESTIMATIVA DE HORAS TÉCNICAS'!$F$947+'ESTIMATIVA DE HORAS TÉCNICAS'!Q434*'ESTIMATIVA DE HORAS TÉCNICAS'!F$953+'ESTIMATIVA DE HORAS TÉCNICAS'!R434*'ESTIMATIVA DE HORAS TÉCNICAS'!F$954</f>
        <v>1409.9172537848146</v>
      </c>
      <c r="E431" s="411">
        <f>'CALCULO DO FATO K'!D$10</f>
        <v>2.3175723620309046</v>
      </c>
      <c r="F431" s="714"/>
      <c r="G431" s="714"/>
      <c r="H431" s="411">
        <f t="shared" si="19"/>
        <v>3267.5852601221991</v>
      </c>
      <c r="I431" s="416"/>
      <c r="J431" s="767"/>
    </row>
    <row r="432" spans="1:10" ht="15.75">
      <c r="A432" s="426" t="s">
        <v>459</v>
      </c>
      <c r="B432" s="428" t="s">
        <v>105</v>
      </c>
      <c r="C432" s="409"/>
      <c r="D432" s="787">
        <f>'ESTIMATIVA DE HORAS TÉCNICAS'!F435*'ESTIMATIVA DE HORAS TÉCNICAS'!F$943+'ESTIMATIVA DE HORAS TÉCNICAS'!G435*'ESTIMATIVA DE HORAS TÉCNICAS'!F$942+'ESTIMATIVA DE HORAS TÉCNICAS'!H435*'ESTIMATIVA DE HORAS TÉCNICAS'!F$941+'ESTIMATIVA DE HORAS TÉCNICAS'!I435*'ESTIMATIVA DE HORAS TÉCNICAS'!F$945+'ESTIMATIVA DE HORAS TÉCNICAS'!J435*'ESTIMATIVA DE HORAS TÉCNICAS'!F$946+'ESTIMATIVA DE HORAS TÉCNICAS'!K435*'ESTIMATIVA DE HORAS TÉCNICAS'!$F$944+'ESTIMATIVA DE HORAS TÉCNICAS'!L435*'ESTIMATIVA DE HORAS TÉCNICAS'!F$951+'ESTIMATIVA DE HORAS TÉCNICAS'!M435*'ESTIMATIVA DE HORAS TÉCNICAS'!F$950+'ESTIMATIVA DE HORAS TÉCNICAS'!N435*'ESTIMATIVA DE HORAS TÉCNICAS'!F$949+'ESTIMATIVA DE HORAS TÉCNICAS'!O435*'ESTIMATIVA DE HORAS TÉCNICAS'!F$948+'ESTIMATIVA DE HORAS TÉCNICAS'!P435*'ESTIMATIVA DE HORAS TÉCNICAS'!$F$947+'ESTIMATIVA DE HORAS TÉCNICAS'!Q435*'ESTIMATIVA DE HORAS TÉCNICAS'!F$953+'ESTIMATIVA DE HORAS TÉCNICAS'!R435*'ESTIMATIVA DE HORAS TÉCNICAS'!F$954</f>
        <v>1357.9726039523866</v>
      </c>
      <c r="E432" s="411">
        <f>'CALCULO DO FATO K'!D$10</f>
        <v>2.3175723620309046</v>
      </c>
      <c r="F432" s="714"/>
      <c r="G432" s="714"/>
      <c r="H432" s="411">
        <f t="shared" si="19"/>
        <v>3147.1997753151909</v>
      </c>
      <c r="I432" s="416"/>
      <c r="J432" s="767"/>
    </row>
    <row r="433" spans="1:10" ht="15.75">
      <c r="A433" s="426" t="s">
        <v>460</v>
      </c>
      <c r="B433" s="428" t="s">
        <v>142</v>
      </c>
      <c r="C433" s="409"/>
      <c r="D433" s="787">
        <f>'ESTIMATIVA DE HORAS TÉCNICAS'!F436*'ESTIMATIVA DE HORAS TÉCNICAS'!F$943+'ESTIMATIVA DE HORAS TÉCNICAS'!G436*'ESTIMATIVA DE HORAS TÉCNICAS'!F$942+'ESTIMATIVA DE HORAS TÉCNICAS'!H436*'ESTIMATIVA DE HORAS TÉCNICAS'!F$941+'ESTIMATIVA DE HORAS TÉCNICAS'!I436*'ESTIMATIVA DE HORAS TÉCNICAS'!F$945+'ESTIMATIVA DE HORAS TÉCNICAS'!J436*'ESTIMATIVA DE HORAS TÉCNICAS'!F$946+'ESTIMATIVA DE HORAS TÉCNICAS'!K436*'ESTIMATIVA DE HORAS TÉCNICAS'!$F$944+'ESTIMATIVA DE HORAS TÉCNICAS'!L436*'ESTIMATIVA DE HORAS TÉCNICAS'!F$951+'ESTIMATIVA DE HORAS TÉCNICAS'!M436*'ESTIMATIVA DE HORAS TÉCNICAS'!F$950+'ESTIMATIVA DE HORAS TÉCNICAS'!N436*'ESTIMATIVA DE HORAS TÉCNICAS'!F$949+'ESTIMATIVA DE HORAS TÉCNICAS'!O436*'ESTIMATIVA DE HORAS TÉCNICAS'!F$948+'ESTIMATIVA DE HORAS TÉCNICAS'!P436*'ESTIMATIVA DE HORAS TÉCNICAS'!$F$947+'ESTIMATIVA DE HORAS TÉCNICAS'!Q436*'ESTIMATIVA DE HORAS TÉCNICAS'!F$953+'ESTIMATIVA DE HORAS TÉCNICAS'!R436*'ESTIMATIVA DE HORAS TÉCNICAS'!F$954</f>
        <v>5691.6136649716864</v>
      </c>
      <c r="E433" s="411">
        <f>'CALCULO DO FATO K'!D$10</f>
        <v>2.3175723620309046</v>
      </c>
      <c r="F433" s="714"/>
      <c r="G433" s="714"/>
      <c r="H433" s="411">
        <f t="shared" si="19"/>
        <v>13190.726525295804</v>
      </c>
      <c r="I433" s="416"/>
      <c r="J433" s="767"/>
    </row>
    <row r="434" spans="1:10" ht="15.75">
      <c r="A434" s="426" t="s">
        <v>461</v>
      </c>
      <c r="B434" s="428" t="s">
        <v>150</v>
      </c>
      <c r="C434" s="409"/>
      <c r="D434" s="787">
        <f>'ESTIMATIVA DE HORAS TÉCNICAS'!F437*'ESTIMATIVA DE HORAS TÉCNICAS'!F$943+'ESTIMATIVA DE HORAS TÉCNICAS'!G437*'ESTIMATIVA DE HORAS TÉCNICAS'!F$942+'ESTIMATIVA DE HORAS TÉCNICAS'!H437*'ESTIMATIVA DE HORAS TÉCNICAS'!F$941+'ESTIMATIVA DE HORAS TÉCNICAS'!I437*'ESTIMATIVA DE HORAS TÉCNICAS'!F$945+'ESTIMATIVA DE HORAS TÉCNICAS'!J437*'ESTIMATIVA DE HORAS TÉCNICAS'!F$946+'ESTIMATIVA DE HORAS TÉCNICAS'!K437*'ESTIMATIVA DE HORAS TÉCNICAS'!$F$944+'ESTIMATIVA DE HORAS TÉCNICAS'!L437*'ESTIMATIVA DE HORAS TÉCNICAS'!F$951+'ESTIMATIVA DE HORAS TÉCNICAS'!M437*'ESTIMATIVA DE HORAS TÉCNICAS'!F$950+'ESTIMATIVA DE HORAS TÉCNICAS'!N437*'ESTIMATIVA DE HORAS TÉCNICAS'!F$949+'ESTIMATIVA DE HORAS TÉCNICAS'!O437*'ESTIMATIVA DE HORAS TÉCNICAS'!F$948+'ESTIMATIVA DE HORAS TÉCNICAS'!P437*'ESTIMATIVA DE HORAS TÉCNICAS'!$F$947+'ESTIMATIVA DE HORAS TÉCNICAS'!Q437*'ESTIMATIVA DE HORAS TÉCNICAS'!F$953+'ESTIMATIVA DE HORAS TÉCNICAS'!R437*'ESTIMATIVA DE HORAS TÉCNICAS'!F$954</f>
        <v>1409.9172537848146</v>
      </c>
      <c r="E434" s="411">
        <f>'CALCULO DO FATO K'!D$10</f>
        <v>2.3175723620309046</v>
      </c>
      <c r="F434" s="714"/>
      <c r="G434" s="714"/>
      <c r="H434" s="411">
        <f t="shared" si="19"/>
        <v>3267.5852601221991</v>
      </c>
      <c r="I434" s="416"/>
      <c r="J434" s="767"/>
    </row>
    <row r="435" spans="1:10" ht="15.75">
      <c r="A435" s="426" t="s">
        <v>462</v>
      </c>
      <c r="B435" s="428" t="s">
        <v>101</v>
      </c>
      <c r="C435" s="410"/>
      <c r="D435" s="787">
        <f>'ESTIMATIVA DE HORAS TÉCNICAS'!F438*'ESTIMATIVA DE HORAS TÉCNICAS'!F$943+'ESTIMATIVA DE HORAS TÉCNICAS'!G438*'ESTIMATIVA DE HORAS TÉCNICAS'!F$942+'ESTIMATIVA DE HORAS TÉCNICAS'!H438*'ESTIMATIVA DE HORAS TÉCNICAS'!F$941+'ESTIMATIVA DE HORAS TÉCNICAS'!I438*'ESTIMATIVA DE HORAS TÉCNICAS'!F$945+'ESTIMATIVA DE HORAS TÉCNICAS'!J438*'ESTIMATIVA DE HORAS TÉCNICAS'!F$946+'ESTIMATIVA DE HORAS TÉCNICAS'!K438*'ESTIMATIVA DE HORAS TÉCNICAS'!$F$944+'ESTIMATIVA DE HORAS TÉCNICAS'!L438*'ESTIMATIVA DE HORAS TÉCNICAS'!F$951+'ESTIMATIVA DE HORAS TÉCNICAS'!M438*'ESTIMATIVA DE HORAS TÉCNICAS'!F$950+'ESTIMATIVA DE HORAS TÉCNICAS'!N438*'ESTIMATIVA DE HORAS TÉCNICAS'!F$949+'ESTIMATIVA DE HORAS TÉCNICAS'!O438*'ESTIMATIVA DE HORAS TÉCNICAS'!F$948+'ESTIMATIVA DE HORAS TÉCNICAS'!P438*'ESTIMATIVA DE HORAS TÉCNICAS'!$F$947+'ESTIMATIVA DE HORAS TÉCNICAS'!Q438*'ESTIMATIVA DE HORAS TÉCNICAS'!F$953+'ESTIMATIVA DE HORAS TÉCNICAS'!R438*'ESTIMATIVA DE HORAS TÉCNICAS'!F$954</f>
        <v>1409.9172537848146</v>
      </c>
      <c r="E435" s="411">
        <f>'CALCULO DO FATO K'!D$10</f>
        <v>2.3175723620309046</v>
      </c>
      <c r="F435" s="714"/>
      <c r="G435" s="714"/>
      <c r="H435" s="411">
        <f t="shared" si="19"/>
        <v>3267.5852601221991</v>
      </c>
      <c r="I435" s="416">
        <f>SUM(H429:H435)</f>
        <v>32675.852601221988</v>
      </c>
      <c r="J435" s="767"/>
    </row>
    <row r="436" spans="1:10" s="532" customFormat="1" ht="15.75">
      <c r="A436" s="426"/>
      <c r="B436" s="428"/>
      <c r="C436" s="410"/>
      <c r="D436" s="787"/>
      <c r="E436" s="411"/>
      <c r="F436" s="714"/>
      <c r="G436" s="714"/>
      <c r="H436" s="411"/>
      <c r="I436" s="416"/>
      <c r="J436" s="767"/>
    </row>
    <row r="437" spans="1:10" s="284" customFormat="1" ht="15.75">
      <c r="A437" s="426"/>
      <c r="B437" s="768"/>
      <c r="C437" s="409"/>
      <c r="D437" s="787"/>
      <c r="E437" s="411"/>
      <c r="F437" s="714"/>
      <c r="G437" s="714"/>
      <c r="H437" s="411"/>
      <c r="I437" s="416"/>
      <c r="J437" s="767"/>
    </row>
    <row r="438" spans="1:10" ht="15.75">
      <c r="A438" s="391" t="s">
        <v>463</v>
      </c>
      <c r="B438" s="427" t="s">
        <v>208</v>
      </c>
      <c r="C438" s="474"/>
      <c r="D438" s="480"/>
      <c r="E438" s="475"/>
      <c r="F438" s="475"/>
      <c r="G438" s="475"/>
      <c r="H438" s="475"/>
      <c r="I438" s="476"/>
      <c r="J438" s="767"/>
    </row>
    <row r="439" spans="1:10" ht="15.75">
      <c r="A439" s="426" t="s">
        <v>464</v>
      </c>
      <c r="B439" s="428" t="s">
        <v>326</v>
      </c>
      <c r="C439" s="409"/>
      <c r="D439" s="787">
        <f>'ESTIMATIVA DE HORAS TÉCNICAS'!F442*'ESTIMATIVA DE HORAS TÉCNICAS'!F$943+'ESTIMATIVA DE HORAS TÉCNICAS'!G442*'ESTIMATIVA DE HORAS TÉCNICAS'!F$942+'ESTIMATIVA DE HORAS TÉCNICAS'!H442*'ESTIMATIVA DE HORAS TÉCNICAS'!F$941+'ESTIMATIVA DE HORAS TÉCNICAS'!I442*'ESTIMATIVA DE HORAS TÉCNICAS'!F$945+'ESTIMATIVA DE HORAS TÉCNICAS'!J442*'ESTIMATIVA DE HORAS TÉCNICAS'!F$946+'ESTIMATIVA DE HORAS TÉCNICAS'!K442*'ESTIMATIVA DE HORAS TÉCNICAS'!$F$944+'ESTIMATIVA DE HORAS TÉCNICAS'!L442*'ESTIMATIVA DE HORAS TÉCNICAS'!F$951+'ESTIMATIVA DE HORAS TÉCNICAS'!M442*'ESTIMATIVA DE HORAS TÉCNICAS'!F$950+'ESTIMATIVA DE HORAS TÉCNICAS'!N442*'ESTIMATIVA DE HORAS TÉCNICAS'!F$949+'ESTIMATIVA DE HORAS TÉCNICAS'!O442*'ESTIMATIVA DE HORAS TÉCNICAS'!F$948+'ESTIMATIVA DE HORAS TÉCNICAS'!P442*'ESTIMATIVA DE HORAS TÉCNICAS'!$F$947+'ESTIMATIVA DE HORAS TÉCNICAS'!Q442*'ESTIMATIVA DE HORAS TÉCNICAS'!F$953+'ESTIMATIVA DE HORAS TÉCNICAS'!R442*'ESTIMATIVA DE HORAS TÉCNICAS'!F$954</f>
        <v>2447.0640688200629</v>
      </c>
      <c r="E439" s="411">
        <f>'CALCULO DO FATO K'!D$10</f>
        <v>2.3175723620309046</v>
      </c>
      <c r="F439" s="714"/>
      <c r="G439" s="714"/>
      <c r="H439" s="411">
        <f t="shared" ref="H439:H445" si="20">D439*E439</f>
        <v>5671.2480540162687</v>
      </c>
      <c r="I439" s="416"/>
      <c r="J439" s="767"/>
    </row>
    <row r="440" spans="1:10" ht="15.75">
      <c r="A440" s="426" t="s">
        <v>465</v>
      </c>
      <c r="B440" s="428" t="s">
        <v>135</v>
      </c>
      <c r="C440" s="409"/>
      <c r="D440" s="787">
        <f>'ESTIMATIVA DE HORAS TÉCNICAS'!F443*'ESTIMATIVA DE HORAS TÉCNICAS'!F$943+'ESTIMATIVA DE HORAS TÉCNICAS'!G443*'ESTIMATIVA DE HORAS TÉCNICAS'!F$942+'ESTIMATIVA DE HORAS TÉCNICAS'!H443*'ESTIMATIVA DE HORAS TÉCNICAS'!F$941+'ESTIMATIVA DE HORAS TÉCNICAS'!I443*'ESTIMATIVA DE HORAS TÉCNICAS'!F$945+'ESTIMATIVA DE HORAS TÉCNICAS'!J443*'ESTIMATIVA DE HORAS TÉCNICAS'!F$946+'ESTIMATIVA DE HORAS TÉCNICAS'!K443*'ESTIMATIVA DE HORAS TÉCNICAS'!$F$944+'ESTIMATIVA DE HORAS TÉCNICAS'!L443*'ESTIMATIVA DE HORAS TÉCNICAS'!F$951+'ESTIMATIVA DE HORAS TÉCNICAS'!M443*'ESTIMATIVA DE HORAS TÉCNICAS'!F$950+'ESTIMATIVA DE HORAS TÉCNICAS'!N443*'ESTIMATIVA DE HORAS TÉCNICAS'!F$949+'ESTIMATIVA DE HORAS TÉCNICAS'!O443*'ESTIMATIVA DE HORAS TÉCNICAS'!F$948+'ESTIMATIVA DE HORAS TÉCNICAS'!P443*'ESTIMATIVA DE HORAS TÉCNICAS'!$F$947+'ESTIMATIVA DE HORAS TÉCNICAS'!Q443*'ESTIMATIVA DE HORAS TÉCNICAS'!F$953+'ESTIMATIVA DE HORAS TÉCNICAS'!R443*'ESTIMATIVA DE HORAS TÉCNICAS'!F$954</f>
        <v>978.82562752802528</v>
      </c>
      <c r="E440" s="411">
        <f>'CALCULO DO FATO K'!D$10</f>
        <v>2.3175723620309046</v>
      </c>
      <c r="F440" s="714"/>
      <c r="G440" s="714"/>
      <c r="H440" s="411">
        <f t="shared" si="20"/>
        <v>2268.4992216065079</v>
      </c>
      <c r="I440" s="416"/>
      <c r="J440" s="767"/>
    </row>
    <row r="441" spans="1:10" ht="15.75">
      <c r="A441" s="426" t="s">
        <v>466</v>
      </c>
      <c r="B441" s="428" t="s">
        <v>105</v>
      </c>
      <c r="C441" s="409"/>
      <c r="D441" s="787">
        <f>'ESTIMATIVA DE HORAS TÉCNICAS'!F444*'ESTIMATIVA DE HORAS TÉCNICAS'!F$943+'ESTIMATIVA DE HORAS TÉCNICAS'!G444*'ESTIMATIVA DE HORAS TÉCNICAS'!F$942+'ESTIMATIVA DE HORAS TÉCNICAS'!H444*'ESTIMATIVA DE HORAS TÉCNICAS'!F$941+'ESTIMATIVA DE HORAS TÉCNICAS'!I444*'ESTIMATIVA DE HORAS TÉCNICAS'!F$945+'ESTIMATIVA DE HORAS TÉCNICAS'!J444*'ESTIMATIVA DE HORAS TÉCNICAS'!F$946+'ESTIMATIVA DE HORAS TÉCNICAS'!K444*'ESTIMATIVA DE HORAS TÉCNICAS'!$F$944+'ESTIMATIVA DE HORAS TÉCNICAS'!L444*'ESTIMATIVA DE HORAS TÉCNICAS'!F$951+'ESTIMATIVA DE HORAS TÉCNICAS'!M444*'ESTIMATIVA DE HORAS TÉCNICAS'!F$950+'ESTIMATIVA DE HORAS TÉCNICAS'!N444*'ESTIMATIVA DE HORAS TÉCNICAS'!F$949+'ESTIMATIVA DE HORAS TÉCNICAS'!O444*'ESTIMATIVA DE HORAS TÉCNICAS'!F$948+'ESTIMATIVA DE HORAS TÉCNICAS'!P444*'ESTIMATIVA DE HORAS TÉCNICAS'!$F$947+'ESTIMATIVA DE HORAS TÉCNICAS'!Q444*'ESTIMATIVA DE HORAS TÉCNICAS'!F$953+'ESTIMATIVA DE HORAS TÉCNICAS'!R444*'ESTIMATIVA DE HORAS TÉCNICAS'!F$954</f>
        <v>1468.2384412920378</v>
      </c>
      <c r="E441" s="411">
        <f>'CALCULO DO FATO K'!D$10</f>
        <v>2.3175723620309046</v>
      </c>
      <c r="F441" s="714"/>
      <c r="G441" s="714"/>
      <c r="H441" s="411">
        <f t="shared" si="20"/>
        <v>3402.7488324097617</v>
      </c>
      <c r="I441" s="416"/>
      <c r="J441" s="767"/>
    </row>
    <row r="442" spans="1:10" ht="15.75">
      <c r="A442" s="426" t="s">
        <v>467</v>
      </c>
      <c r="B442" s="428" t="s">
        <v>142</v>
      </c>
      <c r="C442" s="409"/>
      <c r="D442" s="787">
        <f>'ESTIMATIVA DE HORAS TÉCNICAS'!F445*'ESTIMATIVA DE HORAS TÉCNICAS'!F$943+'ESTIMATIVA DE HORAS TÉCNICAS'!G445*'ESTIMATIVA DE HORAS TÉCNICAS'!F$942+'ESTIMATIVA DE HORAS TÉCNICAS'!H445*'ESTIMATIVA DE HORAS TÉCNICAS'!F$941+'ESTIMATIVA DE HORAS TÉCNICAS'!I445*'ESTIMATIVA DE HORAS TÉCNICAS'!F$945+'ESTIMATIVA DE HORAS TÉCNICAS'!J445*'ESTIMATIVA DE HORAS TÉCNICAS'!F$946+'ESTIMATIVA DE HORAS TÉCNICAS'!K445*'ESTIMATIVA DE HORAS TÉCNICAS'!$F$944+'ESTIMATIVA DE HORAS TÉCNICAS'!L445*'ESTIMATIVA DE HORAS TÉCNICAS'!F$951+'ESTIMATIVA DE HORAS TÉCNICAS'!M445*'ESTIMATIVA DE HORAS TÉCNICAS'!F$950+'ESTIMATIVA DE HORAS TÉCNICAS'!N445*'ESTIMATIVA DE HORAS TÉCNICAS'!F$949+'ESTIMATIVA DE HORAS TÉCNICAS'!O445*'ESTIMATIVA DE HORAS TÉCNICAS'!F$948+'ESTIMATIVA DE HORAS TÉCNICAS'!P445*'ESTIMATIVA DE HORAS TÉCNICAS'!$F$947+'ESTIMATIVA DE HORAS TÉCNICAS'!Q445*'ESTIMATIVA DE HORAS TÉCNICAS'!F$953+'ESTIMATIVA DE HORAS TÉCNICAS'!R445*'ESTIMATIVA DE HORAS TÉCNICAS'!F$954</f>
        <v>1957.6512550560506</v>
      </c>
      <c r="E442" s="411">
        <f>'CALCULO DO FATO K'!D$10</f>
        <v>2.3175723620309046</v>
      </c>
      <c r="F442" s="714"/>
      <c r="G442" s="714"/>
      <c r="H442" s="411">
        <f t="shared" si="20"/>
        <v>4536.9984432130159</v>
      </c>
      <c r="I442" s="416"/>
      <c r="J442" s="767"/>
    </row>
    <row r="443" spans="1:10" ht="15.75">
      <c r="A443" s="426" t="s">
        <v>468</v>
      </c>
      <c r="B443" s="428" t="s">
        <v>150</v>
      </c>
      <c r="C443" s="409"/>
      <c r="D443" s="787">
        <f>'ESTIMATIVA DE HORAS TÉCNICAS'!F446*'ESTIMATIVA DE HORAS TÉCNICAS'!F$943+'ESTIMATIVA DE HORAS TÉCNICAS'!G446*'ESTIMATIVA DE HORAS TÉCNICAS'!F$942+'ESTIMATIVA DE HORAS TÉCNICAS'!H446*'ESTIMATIVA DE HORAS TÉCNICAS'!F$941+'ESTIMATIVA DE HORAS TÉCNICAS'!I446*'ESTIMATIVA DE HORAS TÉCNICAS'!F$945+'ESTIMATIVA DE HORAS TÉCNICAS'!J446*'ESTIMATIVA DE HORAS TÉCNICAS'!F$946+'ESTIMATIVA DE HORAS TÉCNICAS'!K446*'ESTIMATIVA DE HORAS TÉCNICAS'!$F$944+'ESTIMATIVA DE HORAS TÉCNICAS'!L446*'ESTIMATIVA DE HORAS TÉCNICAS'!F$951+'ESTIMATIVA DE HORAS TÉCNICAS'!M446*'ESTIMATIVA DE HORAS TÉCNICAS'!F$950+'ESTIMATIVA DE HORAS TÉCNICAS'!N446*'ESTIMATIVA DE HORAS TÉCNICAS'!F$949+'ESTIMATIVA DE HORAS TÉCNICAS'!O446*'ESTIMATIVA DE HORAS TÉCNICAS'!F$948+'ESTIMATIVA DE HORAS TÉCNICAS'!P446*'ESTIMATIVA DE HORAS TÉCNICAS'!$F$947+'ESTIMATIVA DE HORAS TÉCNICAS'!Q446*'ESTIMATIVA DE HORAS TÉCNICAS'!F$953+'ESTIMATIVA DE HORAS TÉCNICAS'!R446*'ESTIMATIVA DE HORAS TÉCNICAS'!F$954</f>
        <v>978.82562752802528</v>
      </c>
      <c r="E443" s="411">
        <f>'CALCULO DO FATO K'!D$10</f>
        <v>2.3175723620309046</v>
      </c>
      <c r="F443" s="714"/>
      <c r="G443" s="714"/>
      <c r="H443" s="411">
        <f t="shared" si="20"/>
        <v>2268.4992216065079</v>
      </c>
      <c r="I443" s="416"/>
      <c r="J443" s="767"/>
    </row>
    <row r="444" spans="1:10" ht="15.75">
      <c r="A444" s="426" t="s">
        <v>469</v>
      </c>
      <c r="B444" s="428" t="s">
        <v>213</v>
      </c>
      <c r="C444" s="410"/>
      <c r="D444" s="787">
        <f>'ESTIMATIVA DE HORAS TÉCNICAS'!F447*'ESTIMATIVA DE HORAS TÉCNICAS'!F$943+'ESTIMATIVA DE HORAS TÉCNICAS'!G447*'ESTIMATIVA DE HORAS TÉCNICAS'!F$942+'ESTIMATIVA DE HORAS TÉCNICAS'!H447*'ESTIMATIVA DE HORAS TÉCNICAS'!F$941+'ESTIMATIVA DE HORAS TÉCNICAS'!I447*'ESTIMATIVA DE HORAS TÉCNICAS'!F$945+'ESTIMATIVA DE HORAS TÉCNICAS'!J447*'ESTIMATIVA DE HORAS TÉCNICAS'!F$946+'ESTIMATIVA DE HORAS TÉCNICAS'!K447*'ESTIMATIVA DE HORAS TÉCNICAS'!$F$944+'ESTIMATIVA DE HORAS TÉCNICAS'!L447*'ESTIMATIVA DE HORAS TÉCNICAS'!F$951+'ESTIMATIVA DE HORAS TÉCNICAS'!M447*'ESTIMATIVA DE HORAS TÉCNICAS'!F$950+'ESTIMATIVA DE HORAS TÉCNICAS'!N447*'ESTIMATIVA DE HORAS TÉCNICAS'!F$949+'ESTIMATIVA DE HORAS TÉCNICAS'!O447*'ESTIMATIVA DE HORAS TÉCNICAS'!F$948+'ESTIMATIVA DE HORAS TÉCNICAS'!P447*'ESTIMATIVA DE HORAS TÉCNICAS'!$F$947+'ESTIMATIVA DE HORAS TÉCNICAS'!Q447*'ESTIMATIVA DE HORAS TÉCNICAS'!F$953+'ESTIMATIVA DE HORAS TÉCNICAS'!R447*'ESTIMATIVA DE HORAS TÉCNICAS'!F$954</f>
        <v>978.82562752802528</v>
      </c>
      <c r="E444" s="411">
        <f>'CALCULO DO FATO K'!D$10</f>
        <v>2.3175723620309046</v>
      </c>
      <c r="F444" s="714"/>
      <c r="G444" s="714"/>
      <c r="H444" s="411">
        <f t="shared" si="20"/>
        <v>2268.4992216065079</v>
      </c>
      <c r="I444" s="416"/>
      <c r="J444" s="767"/>
    </row>
    <row r="445" spans="1:10" ht="15.75">
      <c r="A445" s="426" t="s">
        <v>470</v>
      </c>
      <c r="B445" s="428" t="s">
        <v>152</v>
      </c>
      <c r="C445" s="410"/>
      <c r="D445" s="787">
        <f>'ESTIMATIVA DE HORAS TÉCNICAS'!F448*'ESTIMATIVA DE HORAS TÉCNICAS'!F$943+'ESTIMATIVA DE HORAS TÉCNICAS'!G448*'ESTIMATIVA DE HORAS TÉCNICAS'!F$942+'ESTIMATIVA DE HORAS TÉCNICAS'!H448*'ESTIMATIVA DE HORAS TÉCNICAS'!F$941+'ESTIMATIVA DE HORAS TÉCNICAS'!I448*'ESTIMATIVA DE HORAS TÉCNICAS'!F$945+'ESTIMATIVA DE HORAS TÉCNICAS'!J448*'ESTIMATIVA DE HORAS TÉCNICAS'!F$946+'ESTIMATIVA DE HORAS TÉCNICAS'!K448*'ESTIMATIVA DE HORAS TÉCNICAS'!$F$944+'ESTIMATIVA DE HORAS TÉCNICAS'!L448*'ESTIMATIVA DE HORAS TÉCNICAS'!F$951+'ESTIMATIVA DE HORAS TÉCNICAS'!M448*'ESTIMATIVA DE HORAS TÉCNICAS'!F$950+'ESTIMATIVA DE HORAS TÉCNICAS'!N448*'ESTIMATIVA DE HORAS TÉCNICAS'!F$949+'ESTIMATIVA DE HORAS TÉCNICAS'!O448*'ESTIMATIVA DE HORAS TÉCNICAS'!F$948+'ESTIMATIVA DE HORAS TÉCNICAS'!P448*'ESTIMATIVA DE HORAS TÉCNICAS'!$F$947+'ESTIMATIVA DE HORAS TÉCNICAS'!Q448*'ESTIMATIVA DE HORAS TÉCNICAS'!F$953+'ESTIMATIVA DE HORAS TÉCNICAS'!R448*'ESTIMATIVA DE HORAS TÉCNICAS'!F$954</f>
        <v>978.82562752802528</v>
      </c>
      <c r="E445" s="411">
        <f>'CALCULO DO FATO K'!D$10</f>
        <v>2.3175723620309046</v>
      </c>
      <c r="F445" s="714"/>
      <c r="G445" s="714"/>
      <c r="H445" s="411">
        <f t="shared" si="20"/>
        <v>2268.4992216065079</v>
      </c>
      <c r="I445" s="416">
        <f>SUM(H439:H445)</f>
        <v>22684.992216065075</v>
      </c>
      <c r="J445" s="767"/>
    </row>
    <row r="446" spans="1:10" s="532" customFormat="1" ht="15.75">
      <c r="A446" s="426"/>
      <c r="B446" s="428"/>
      <c r="C446" s="410"/>
      <c r="D446" s="787"/>
      <c r="E446" s="411"/>
      <c r="F446" s="714"/>
      <c r="G446" s="714"/>
      <c r="H446" s="411"/>
      <c r="I446" s="416"/>
      <c r="J446" s="767"/>
    </row>
    <row r="447" spans="1:10" s="284" customFormat="1" ht="15.75">
      <c r="A447" s="426"/>
      <c r="B447" s="768"/>
      <c r="C447" s="409"/>
      <c r="D447" s="787"/>
      <c r="E447" s="411"/>
      <c r="F447" s="714"/>
      <c r="G447" s="714"/>
      <c r="H447" s="411"/>
      <c r="I447" s="416"/>
      <c r="J447" s="767"/>
    </row>
    <row r="448" spans="1:10" ht="15.75">
      <c r="A448" s="391" t="s">
        <v>471</v>
      </c>
      <c r="B448" s="427" t="s">
        <v>216</v>
      </c>
      <c r="C448" s="474"/>
      <c r="D448" s="480"/>
      <c r="E448" s="475"/>
      <c r="F448" s="475"/>
      <c r="G448" s="475"/>
      <c r="H448" s="475"/>
      <c r="I448" s="476"/>
      <c r="J448" s="767"/>
    </row>
    <row r="449" spans="1:10" ht="15.75">
      <c r="A449" s="426" t="s">
        <v>472</v>
      </c>
      <c r="B449" s="428" t="s">
        <v>326</v>
      </c>
      <c r="C449" s="409"/>
      <c r="D449" s="787">
        <f>'ESTIMATIVA DE HORAS TÉCNICAS'!F452*'ESTIMATIVA DE HORAS TÉCNICAS'!F$943+'ESTIMATIVA DE HORAS TÉCNICAS'!G452*'ESTIMATIVA DE HORAS TÉCNICAS'!F$942+'ESTIMATIVA DE HORAS TÉCNICAS'!H452*'ESTIMATIVA DE HORAS TÉCNICAS'!F$941+'ESTIMATIVA DE HORAS TÉCNICAS'!I452*'ESTIMATIVA DE HORAS TÉCNICAS'!F$945+'ESTIMATIVA DE HORAS TÉCNICAS'!J452*'ESTIMATIVA DE HORAS TÉCNICAS'!F$946+'ESTIMATIVA DE HORAS TÉCNICAS'!K452*'ESTIMATIVA DE HORAS TÉCNICAS'!$F$944+'ESTIMATIVA DE HORAS TÉCNICAS'!L452*'ESTIMATIVA DE HORAS TÉCNICAS'!F$951+'ESTIMATIVA DE HORAS TÉCNICAS'!M452*'ESTIMATIVA DE HORAS TÉCNICAS'!F$950+'ESTIMATIVA DE HORAS TÉCNICAS'!N452*'ESTIMATIVA DE HORAS TÉCNICAS'!F$949+'ESTIMATIVA DE HORAS TÉCNICAS'!O452*'ESTIMATIVA DE HORAS TÉCNICAS'!F$948+'ESTIMATIVA DE HORAS TÉCNICAS'!P452*'ESTIMATIVA DE HORAS TÉCNICAS'!$F$947+'ESTIMATIVA DE HORAS TÉCNICAS'!Q452*'ESTIMATIVA DE HORAS TÉCNICAS'!F$953+'ESTIMATIVA DE HORAS TÉCNICAS'!R452*'ESTIMATIVA DE HORAS TÉCNICAS'!F$954</f>
        <v>2236.8102241997003</v>
      </c>
      <c r="E449" s="411">
        <f>'CALCULO DO FATO K'!D$10</f>
        <v>2.3175723620309046</v>
      </c>
      <c r="F449" s="714"/>
      <c r="G449" s="714"/>
      <c r="H449" s="411">
        <f t="shared" ref="H449:H454" si="21">D449*E449</f>
        <v>5183.969554713377</v>
      </c>
      <c r="I449" s="416"/>
      <c r="J449" s="767"/>
    </row>
    <row r="450" spans="1:10" ht="15.75">
      <c r="A450" s="426" t="s">
        <v>473</v>
      </c>
      <c r="B450" s="428" t="s">
        <v>135</v>
      </c>
      <c r="C450" s="409"/>
      <c r="D450" s="787">
        <f>'ESTIMATIVA DE HORAS TÉCNICAS'!F453*'ESTIMATIVA DE HORAS TÉCNICAS'!F$943+'ESTIMATIVA DE HORAS TÉCNICAS'!G453*'ESTIMATIVA DE HORAS TÉCNICAS'!F$942+'ESTIMATIVA DE HORAS TÉCNICAS'!H453*'ESTIMATIVA DE HORAS TÉCNICAS'!F$941+'ESTIMATIVA DE HORAS TÉCNICAS'!I453*'ESTIMATIVA DE HORAS TÉCNICAS'!F$945+'ESTIMATIVA DE HORAS TÉCNICAS'!J453*'ESTIMATIVA DE HORAS TÉCNICAS'!F$946+'ESTIMATIVA DE HORAS TÉCNICAS'!K453*'ESTIMATIVA DE HORAS TÉCNICAS'!$F$944+'ESTIMATIVA DE HORAS TÉCNICAS'!L453*'ESTIMATIVA DE HORAS TÉCNICAS'!F$951+'ESTIMATIVA DE HORAS TÉCNICAS'!M453*'ESTIMATIVA DE HORAS TÉCNICAS'!F$950+'ESTIMATIVA DE HORAS TÉCNICAS'!N453*'ESTIMATIVA DE HORAS TÉCNICAS'!F$949+'ESTIMATIVA DE HORAS TÉCNICAS'!O453*'ESTIMATIVA DE HORAS TÉCNICAS'!F$948+'ESTIMATIVA DE HORAS TÉCNICAS'!P453*'ESTIMATIVA DE HORAS TÉCNICAS'!$F$947+'ESTIMATIVA DE HORAS TÉCNICAS'!Q453*'ESTIMATIVA DE HORAS TÉCNICAS'!F$953+'ESTIMATIVA DE HORAS TÉCNICAS'!R453*'ESTIMATIVA DE HORAS TÉCNICAS'!F$954</f>
        <v>3965.476005431643</v>
      </c>
      <c r="E450" s="411">
        <f>'CALCULO DO FATO K'!D$10</f>
        <v>2.3175723620309046</v>
      </c>
      <c r="F450" s="714"/>
      <c r="G450" s="714"/>
      <c r="H450" s="411">
        <f t="shared" si="21"/>
        <v>9190.2775924850885</v>
      </c>
      <c r="I450" s="416"/>
      <c r="J450" s="767"/>
    </row>
    <row r="451" spans="1:10" ht="15.75">
      <c r="A451" s="426" t="s">
        <v>474</v>
      </c>
      <c r="B451" s="428" t="s">
        <v>105</v>
      </c>
      <c r="C451" s="409"/>
      <c r="D451" s="787">
        <f>'ESTIMATIVA DE HORAS TÉCNICAS'!F454*'ESTIMATIVA DE HORAS TÉCNICAS'!F$943+'ESTIMATIVA DE HORAS TÉCNICAS'!G454*'ESTIMATIVA DE HORAS TÉCNICAS'!F$942+'ESTIMATIVA DE HORAS TÉCNICAS'!H454*'ESTIMATIVA DE HORAS TÉCNICAS'!F$941+'ESTIMATIVA DE HORAS TÉCNICAS'!I454*'ESTIMATIVA DE HORAS TÉCNICAS'!F$945+'ESTIMATIVA DE HORAS TÉCNICAS'!J454*'ESTIMATIVA DE HORAS TÉCNICAS'!F$946+'ESTIMATIVA DE HORAS TÉCNICAS'!K454*'ESTIMATIVA DE HORAS TÉCNICAS'!$F$944+'ESTIMATIVA DE HORAS TÉCNICAS'!L454*'ESTIMATIVA DE HORAS TÉCNICAS'!F$951+'ESTIMATIVA DE HORAS TÉCNICAS'!M454*'ESTIMATIVA DE HORAS TÉCNICAS'!F$950+'ESTIMATIVA DE HORAS TÉCNICAS'!N454*'ESTIMATIVA DE HORAS TÉCNICAS'!F$949+'ESTIMATIVA DE HORAS TÉCNICAS'!O454*'ESTIMATIVA DE HORAS TÉCNICAS'!F$948+'ESTIMATIVA DE HORAS TÉCNICAS'!P454*'ESTIMATIVA DE HORAS TÉCNICAS'!$F$947+'ESTIMATIVA DE HORAS TÉCNICAS'!Q454*'ESTIMATIVA DE HORAS TÉCNICAS'!F$953+'ESTIMATIVA DE HORAS TÉCNICAS'!R454*'ESTIMATIVA DE HORAS TÉCNICAS'!F$954</f>
        <v>1813.1975774297937</v>
      </c>
      <c r="E451" s="411">
        <f>'CALCULO DO FATO K'!D$10</f>
        <v>2.3175723620309046</v>
      </c>
      <c r="F451" s="714"/>
      <c r="G451" s="714"/>
      <c r="H451" s="411">
        <f t="shared" si="21"/>
        <v>4202.2165923526809</v>
      </c>
      <c r="I451" s="416"/>
      <c r="J451" s="767"/>
    </row>
    <row r="452" spans="1:10" ht="15.75">
      <c r="A452" s="426" t="s">
        <v>475</v>
      </c>
      <c r="B452" s="428" t="s">
        <v>142</v>
      </c>
      <c r="C452" s="409"/>
      <c r="D452" s="787">
        <f>'ESTIMATIVA DE HORAS TÉCNICAS'!F455*'ESTIMATIVA DE HORAS TÉCNICAS'!F$943+'ESTIMATIVA DE HORAS TÉCNICAS'!G455*'ESTIMATIVA DE HORAS TÉCNICAS'!F$942+'ESTIMATIVA DE HORAS TÉCNICAS'!H455*'ESTIMATIVA DE HORAS TÉCNICAS'!F$941+'ESTIMATIVA DE HORAS TÉCNICAS'!I455*'ESTIMATIVA DE HORAS TÉCNICAS'!F$945+'ESTIMATIVA DE HORAS TÉCNICAS'!J455*'ESTIMATIVA DE HORAS TÉCNICAS'!F$946+'ESTIMATIVA DE HORAS TÉCNICAS'!K455*'ESTIMATIVA DE HORAS TÉCNICAS'!$F$944+'ESTIMATIVA DE HORAS TÉCNICAS'!L455*'ESTIMATIVA DE HORAS TÉCNICAS'!F$951+'ESTIMATIVA DE HORAS TÉCNICAS'!M455*'ESTIMATIVA DE HORAS TÉCNICAS'!F$950+'ESTIMATIVA DE HORAS TÉCNICAS'!N455*'ESTIMATIVA DE HORAS TÉCNICAS'!F$949+'ESTIMATIVA DE HORAS TÉCNICAS'!O455*'ESTIMATIVA DE HORAS TÉCNICAS'!F$948+'ESTIMATIVA DE HORAS TÉCNICAS'!P455*'ESTIMATIVA DE HORAS TÉCNICAS'!$F$947+'ESTIMATIVA DE HORAS TÉCNICAS'!Q455*'ESTIMATIVA DE HORAS TÉCNICAS'!F$953+'ESTIMATIVA DE HORAS TÉCNICAS'!R455*'ESTIMATIVA DE HORAS TÉCNICAS'!F$954</f>
        <v>5015.9800855194744</v>
      </c>
      <c r="E452" s="411">
        <f>'CALCULO DO FATO K'!D$10</f>
        <v>2.3175723620309046</v>
      </c>
      <c r="F452" s="714"/>
      <c r="G452" s="714"/>
      <c r="H452" s="411">
        <f t="shared" si="21"/>
        <v>11624.896814697348</v>
      </c>
      <c r="I452" s="416"/>
      <c r="J452" s="767"/>
    </row>
    <row r="453" spans="1:10" ht="15.75">
      <c r="A453" s="426" t="s">
        <v>476</v>
      </c>
      <c r="B453" s="428" t="s">
        <v>150</v>
      </c>
      <c r="C453" s="410"/>
      <c r="D453" s="787">
        <f>'ESTIMATIVA DE HORAS TÉCNICAS'!F456*'ESTIMATIVA DE HORAS TÉCNICAS'!F$943+'ESTIMATIVA DE HORAS TÉCNICAS'!G456*'ESTIMATIVA DE HORAS TÉCNICAS'!F$942+'ESTIMATIVA DE HORAS TÉCNICAS'!H456*'ESTIMATIVA DE HORAS TÉCNICAS'!F$941+'ESTIMATIVA DE HORAS TÉCNICAS'!I456*'ESTIMATIVA DE HORAS TÉCNICAS'!F$945+'ESTIMATIVA DE HORAS TÉCNICAS'!J456*'ESTIMATIVA DE HORAS TÉCNICAS'!F$946+'ESTIMATIVA DE HORAS TÉCNICAS'!K456*'ESTIMATIVA DE HORAS TÉCNICAS'!$F$944+'ESTIMATIVA DE HORAS TÉCNICAS'!L456*'ESTIMATIVA DE HORAS TÉCNICAS'!F$951+'ESTIMATIVA DE HORAS TÉCNICAS'!M456*'ESTIMATIVA DE HORAS TÉCNICAS'!F$950+'ESTIMATIVA DE HORAS TÉCNICAS'!N456*'ESTIMATIVA DE HORAS TÉCNICAS'!F$949+'ESTIMATIVA DE HORAS TÉCNICAS'!O456*'ESTIMATIVA DE HORAS TÉCNICAS'!F$948+'ESTIMATIVA DE HORAS TÉCNICAS'!P456*'ESTIMATIVA DE HORAS TÉCNICAS'!$F$947+'ESTIMATIVA DE HORAS TÉCNICAS'!Q456*'ESTIMATIVA DE HORAS TÉCNICAS'!F$953+'ESTIMATIVA DE HORAS TÉCNICAS'!R456*'ESTIMATIVA DE HORAS TÉCNICAS'!F$954</f>
        <v>3626.3951548595874</v>
      </c>
      <c r="E453" s="411">
        <f>'CALCULO DO FATO K'!D$10</f>
        <v>2.3175723620309046</v>
      </c>
      <c r="F453" s="714"/>
      <c r="G453" s="714"/>
      <c r="H453" s="411">
        <f t="shared" si="21"/>
        <v>8404.4331847053618</v>
      </c>
      <c r="I453" s="416"/>
      <c r="J453" s="767"/>
    </row>
    <row r="454" spans="1:10" ht="15.75">
      <c r="A454" s="426" t="s">
        <v>477</v>
      </c>
      <c r="B454" s="428" t="s">
        <v>213</v>
      </c>
      <c r="C454" s="410"/>
      <c r="D454" s="787">
        <f>'ESTIMATIVA DE HORAS TÉCNICAS'!F457*'ESTIMATIVA DE HORAS TÉCNICAS'!F$943+'ESTIMATIVA DE HORAS TÉCNICAS'!G457*'ESTIMATIVA DE HORAS TÉCNICAS'!F$942+'ESTIMATIVA DE HORAS TÉCNICAS'!H457*'ESTIMATIVA DE HORAS TÉCNICAS'!F$941+'ESTIMATIVA DE HORAS TÉCNICAS'!I457*'ESTIMATIVA DE HORAS TÉCNICAS'!F$945+'ESTIMATIVA DE HORAS TÉCNICAS'!J457*'ESTIMATIVA DE HORAS TÉCNICAS'!F$946+'ESTIMATIVA DE HORAS TÉCNICAS'!K457*'ESTIMATIVA DE HORAS TÉCNICAS'!$F$944+'ESTIMATIVA DE HORAS TÉCNICAS'!L457*'ESTIMATIVA DE HORAS TÉCNICAS'!F$951+'ESTIMATIVA DE HORAS TÉCNICAS'!M457*'ESTIMATIVA DE HORAS TÉCNICAS'!F$950+'ESTIMATIVA DE HORAS TÉCNICAS'!N457*'ESTIMATIVA DE HORAS TÉCNICAS'!F$949+'ESTIMATIVA DE HORAS TÉCNICAS'!O457*'ESTIMATIVA DE HORAS TÉCNICAS'!F$948+'ESTIMATIVA DE HORAS TÉCNICAS'!P457*'ESTIMATIVA DE HORAS TÉCNICAS'!$F$947+'ESTIMATIVA DE HORAS TÉCNICAS'!Q457*'ESTIMATIVA DE HORAS TÉCNICAS'!F$953+'ESTIMATIVA DE HORAS TÉCNICAS'!R457*'ESTIMATIVA DE HORAS TÉCNICAS'!F$954</f>
        <v>1474.1167268577376</v>
      </c>
      <c r="E454" s="411">
        <f>'CALCULO DO FATO K'!D$10</f>
        <v>2.3175723620309046</v>
      </c>
      <c r="F454" s="714"/>
      <c r="G454" s="714"/>
      <c r="H454" s="411">
        <f t="shared" si="21"/>
        <v>3416.3721845729528</v>
      </c>
      <c r="I454" s="416">
        <f>SUM(H449:H454)</f>
        <v>42022.165923526809</v>
      </c>
      <c r="J454" s="767"/>
    </row>
    <row r="455" spans="1:10" s="532" customFormat="1" ht="15.75">
      <c r="A455" s="426"/>
      <c r="B455" s="428"/>
      <c r="C455" s="410"/>
      <c r="D455" s="787"/>
      <c r="E455" s="411"/>
      <c r="F455" s="714"/>
      <c r="G455" s="714"/>
      <c r="H455" s="411"/>
      <c r="I455" s="416"/>
      <c r="J455" s="767"/>
    </row>
    <row r="456" spans="1:10" s="284" customFormat="1" ht="15.75">
      <c r="A456" s="426"/>
      <c r="B456" s="768"/>
      <c r="C456" s="409"/>
      <c r="D456" s="787"/>
      <c r="E456" s="411"/>
      <c r="F456" s="714"/>
      <c r="G456" s="714"/>
      <c r="H456" s="411"/>
      <c r="I456" s="416"/>
      <c r="J456" s="767"/>
    </row>
    <row r="457" spans="1:10" ht="15.75">
      <c r="A457" s="391" t="s">
        <v>478</v>
      </c>
      <c r="B457" s="427" t="s">
        <v>222</v>
      </c>
      <c r="C457" s="474"/>
      <c r="D457" s="480"/>
      <c r="E457" s="475"/>
      <c r="F457" s="475"/>
      <c r="G457" s="475"/>
      <c r="H457" s="475"/>
      <c r="I457" s="476"/>
      <c r="J457" s="767"/>
    </row>
    <row r="458" spans="1:10" ht="15.75">
      <c r="A458" s="426" t="s">
        <v>479</v>
      </c>
      <c r="B458" s="428" t="s">
        <v>326</v>
      </c>
      <c r="C458" s="409"/>
      <c r="D458" s="787">
        <f>'ESTIMATIVA DE HORAS TÉCNICAS'!F461*'ESTIMATIVA DE HORAS TÉCNICAS'!F$943+'ESTIMATIVA DE HORAS TÉCNICAS'!G461*'ESTIMATIVA DE HORAS TÉCNICAS'!F$942+'ESTIMATIVA DE HORAS TÉCNICAS'!H461*'ESTIMATIVA DE HORAS TÉCNICAS'!F$941+'ESTIMATIVA DE HORAS TÉCNICAS'!I461*'ESTIMATIVA DE HORAS TÉCNICAS'!F$945+'ESTIMATIVA DE HORAS TÉCNICAS'!J461*'ESTIMATIVA DE HORAS TÉCNICAS'!F$946+'ESTIMATIVA DE HORAS TÉCNICAS'!K461*'ESTIMATIVA DE HORAS TÉCNICAS'!$F$944+'ESTIMATIVA DE HORAS TÉCNICAS'!L461*'ESTIMATIVA DE HORAS TÉCNICAS'!F$951+'ESTIMATIVA DE HORAS TÉCNICAS'!M461*'ESTIMATIVA DE HORAS TÉCNICAS'!F$950+'ESTIMATIVA DE HORAS TÉCNICAS'!N461*'ESTIMATIVA DE HORAS TÉCNICAS'!F$949+'ESTIMATIVA DE HORAS TÉCNICAS'!O461*'ESTIMATIVA DE HORAS TÉCNICAS'!F$948+'ESTIMATIVA DE HORAS TÉCNICAS'!P461*'ESTIMATIVA DE HORAS TÉCNICAS'!$F$947+'ESTIMATIVA DE HORAS TÉCNICAS'!Q461*'ESTIMATIVA DE HORAS TÉCNICAS'!F$953+'ESTIMATIVA DE HORAS TÉCNICAS'!R461*'ESTIMATIVA DE HORAS TÉCNICAS'!F$954</f>
        <v>3843.3806244943949</v>
      </c>
      <c r="E458" s="411">
        <f>'CALCULO DO FATO K'!D$10</f>
        <v>2.3175723620309046</v>
      </c>
      <c r="F458" s="714"/>
      <c r="G458" s="714"/>
      <c r="H458" s="411">
        <f t="shared" ref="H458:H464" si="22">D458*E458</f>
        <v>8907.3127120932877</v>
      </c>
      <c r="I458" s="416"/>
      <c r="J458" s="767"/>
    </row>
    <row r="459" spans="1:10" ht="15.75">
      <c r="A459" s="426" t="s">
        <v>480</v>
      </c>
      <c r="B459" s="428" t="s">
        <v>481</v>
      </c>
      <c r="C459" s="409"/>
      <c r="D459" s="787">
        <f>'ESTIMATIVA DE HORAS TÉCNICAS'!F462*'ESTIMATIVA DE HORAS TÉCNICAS'!F$943+'ESTIMATIVA DE HORAS TÉCNICAS'!G462*'ESTIMATIVA DE HORAS TÉCNICAS'!F$942+'ESTIMATIVA DE HORAS TÉCNICAS'!H462*'ESTIMATIVA DE HORAS TÉCNICAS'!F$941+'ESTIMATIVA DE HORAS TÉCNICAS'!I462*'ESTIMATIVA DE HORAS TÉCNICAS'!F$945+'ESTIMATIVA DE HORAS TÉCNICAS'!J462*'ESTIMATIVA DE HORAS TÉCNICAS'!F$946+'ESTIMATIVA DE HORAS TÉCNICAS'!K462*'ESTIMATIVA DE HORAS TÉCNICAS'!$F$944+'ESTIMATIVA DE HORAS TÉCNICAS'!L462*'ESTIMATIVA DE HORAS TÉCNICAS'!F$951+'ESTIMATIVA DE HORAS TÉCNICAS'!M462*'ESTIMATIVA DE HORAS TÉCNICAS'!F$950+'ESTIMATIVA DE HORAS TÉCNICAS'!N462*'ESTIMATIVA DE HORAS TÉCNICAS'!F$949+'ESTIMATIVA DE HORAS TÉCNICAS'!O462*'ESTIMATIVA DE HORAS TÉCNICAS'!F$948+'ESTIMATIVA DE HORAS TÉCNICAS'!P462*'ESTIMATIVA DE HORAS TÉCNICAS'!$F$947+'ESTIMATIVA DE HORAS TÉCNICAS'!Q462*'ESTIMATIVA DE HORAS TÉCNICAS'!F$953+'ESTIMATIVA DE HORAS TÉCNICAS'!R462*'ESTIMATIVA DE HORAS TÉCNICAS'!F$954</f>
        <v>1537.3522497977581</v>
      </c>
      <c r="E459" s="411">
        <f>'CALCULO DO FATO K'!D$10</f>
        <v>2.3175723620309046</v>
      </c>
      <c r="F459" s="714"/>
      <c r="G459" s="714"/>
      <c r="H459" s="411">
        <f t="shared" si="22"/>
        <v>3562.9250848373154</v>
      </c>
      <c r="I459" s="416"/>
      <c r="J459" s="767"/>
    </row>
    <row r="460" spans="1:10" ht="15.75">
      <c r="A460" s="426" t="s">
        <v>482</v>
      </c>
      <c r="B460" s="428" t="s">
        <v>105</v>
      </c>
      <c r="C460" s="409"/>
      <c r="D460" s="787">
        <f>'ESTIMATIVA DE HORAS TÉCNICAS'!F463*'ESTIMATIVA DE HORAS TÉCNICAS'!F$943+'ESTIMATIVA DE HORAS TÉCNICAS'!G463*'ESTIMATIVA DE HORAS TÉCNICAS'!F$942+'ESTIMATIVA DE HORAS TÉCNICAS'!H463*'ESTIMATIVA DE HORAS TÉCNICAS'!F$941+'ESTIMATIVA DE HORAS TÉCNICAS'!I463*'ESTIMATIVA DE HORAS TÉCNICAS'!F$945+'ESTIMATIVA DE HORAS TÉCNICAS'!J463*'ESTIMATIVA DE HORAS TÉCNICAS'!F$946+'ESTIMATIVA DE HORAS TÉCNICAS'!K463*'ESTIMATIVA DE HORAS TÉCNICAS'!$F$944+'ESTIMATIVA DE HORAS TÉCNICAS'!L463*'ESTIMATIVA DE HORAS TÉCNICAS'!F$951+'ESTIMATIVA DE HORAS TÉCNICAS'!M463*'ESTIMATIVA DE HORAS TÉCNICAS'!F$950+'ESTIMATIVA DE HORAS TÉCNICAS'!N463*'ESTIMATIVA DE HORAS TÉCNICAS'!F$949+'ESTIMATIVA DE HORAS TÉCNICAS'!O463*'ESTIMATIVA DE HORAS TÉCNICAS'!F$948+'ESTIMATIVA DE HORAS TÉCNICAS'!P463*'ESTIMATIVA DE HORAS TÉCNICAS'!$F$947+'ESTIMATIVA DE HORAS TÉCNICAS'!Q463*'ESTIMATIVA DE HORAS TÉCNICAS'!F$953+'ESTIMATIVA DE HORAS TÉCNICAS'!R463*'ESTIMATIVA DE HORAS TÉCNICAS'!F$954</f>
        <v>1537.3522497977581</v>
      </c>
      <c r="E460" s="411">
        <f>'CALCULO DO FATO K'!D$10</f>
        <v>2.3175723620309046</v>
      </c>
      <c r="F460" s="714"/>
      <c r="G460" s="714"/>
      <c r="H460" s="411">
        <f t="shared" si="22"/>
        <v>3562.9250848373154</v>
      </c>
      <c r="I460" s="416"/>
      <c r="J460" s="767"/>
    </row>
    <row r="461" spans="1:10" ht="15.75">
      <c r="A461" s="426" t="s">
        <v>483</v>
      </c>
      <c r="B461" s="428" t="s">
        <v>142</v>
      </c>
      <c r="C461" s="409"/>
      <c r="D461" s="787">
        <f>'ESTIMATIVA DE HORAS TÉCNICAS'!F464*'ESTIMATIVA DE HORAS TÉCNICAS'!F$943+'ESTIMATIVA DE HORAS TÉCNICAS'!G464*'ESTIMATIVA DE HORAS TÉCNICAS'!F$942+'ESTIMATIVA DE HORAS TÉCNICAS'!H464*'ESTIMATIVA DE HORAS TÉCNICAS'!F$941+'ESTIMATIVA DE HORAS TÉCNICAS'!I464*'ESTIMATIVA DE HORAS TÉCNICAS'!F$945+'ESTIMATIVA DE HORAS TÉCNICAS'!J464*'ESTIMATIVA DE HORAS TÉCNICAS'!F$946+'ESTIMATIVA DE HORAS TÉCNICAS'!K464*'ESTIMATIVA DE HORAS TÉCNICAS'!$F$944+'ESTIMATIVA DE HORAS TÉCNICAS'!L464*'ESTIMATIVA DE HORAS TÉCNICAS'!F$951+'ESTIMATIVA DE HORAS TÉCNICAS'!M464*'ESTIMATIVA DE HORAS TÉCNICAS'!F$950+'ESTIMATIVA DE HORAS TÉCNICAS'!N464*'ESTIMATIVA DE HORAS TÉCNICAS'!F$949+'ESTIMATIVA DE HORAS TÉCNICAS'!O464*'ESTIMATIVA DE HORAS TÉCNICAS'!F$948+'ESTIMATIVA DE HORAS TÉCNICAS'!P464*'ESTIMATIVA DE HORAS TÉCNICAS'!$F$947+'ESTIMATIVA DE HORAS TÉCNICAS'!Q464*'ESTIMATIVA DE HORAS TÉCNICAS'!F$953+'ESTIMATIVA DE HORAS TÉCNICAS'!R464*'ESTIMATIVA DE HORAS TÉCNICAS'!F$954</f>
        <v>3843.3806244943949</v>
      </c>
      <c r="E461" s="411">
        <f>'CALCULO DO FATO K'!D$10</f>
        <v>2.3175723620309046</v>
      </c>
      <c r="F461" s="714"/>
      <c r="G461" s="714"/>
      <c r="H461" s="411">
        <f t="shared" si="22"/>
        <v>8907.3127120932877</v>
      </c>
      <c r="I461" s="416"/>
      <c r="J461" s="767"/>
    </row>
    <row r="462" spans="1:10" ht="15.75">
      <c r="A462" s="426" t="s">
        <v>484</v>
      </c>
      <c r="B462" s="428" t="s">
        <v>150</v>
      </c>
      <c r="C462" s="409"/>
      <c r="D462" s="787">
        <f>'ESTIMATIVA DE HORAS TÉCNICAS'!F465*'ESTIMATIVA DE HORAS TÉCNICAS'!F$943+'ESTIMATIVA DE HORAS TÉCNICAS'!G465*'ESTIMATIVA DE HORAS TÉCNICAS'!F$942+'ESTIMATIVA DE HORAS TÉCNICAS'!H465*'ESTIMATIVA DE HORAS TÉCNICAS'!F$941+'ESTIMATIVA DE HORAS TÉCNICAS'!I465*'ESTIMATIVA DE HORAS TÉCNICAS'!F$945+'ESTIMATIVA DE HORAS TÉCNICAS'!J465*'ESTIMATIVA DE HORAS TÉCNICAS'!F$946+'ESTIMATIVA DE HORAS TÉCNICAS'!K465*'ESTIMATIVA DE HORAS TÉCNICAS'!$F$944+'ESTIMATIVA DE HORAS TÉCNICAS'!L465*'ESTIMATIVA DE HORAS TÉCNICAS'!F$951+'ESTIMATIVA DE HORAS TÉCNICAS'!M465*'ESTIMATIVA DE HORAS TÉCNICAS'!F$950+'ESTIMATIVA DE HORAS TÉCNICAS'!N465*'ESTIMATIVA DE HORAS TÉCNICAS'!F$949+'ESTIMATIVA DE HORAS TÉCNICAS'!O465*'ESTIMATIVA DE HORAS TÉCNICAS'!F$948+'ESTIMATIVA DE HORAS TÉCNICAS'!P465*'ESTIMATIVA DE HORAS TÉCNICAS'!$F$947+'ESTIMATIVA DE HORAS TÉCNICAS'!Q465*'ESTIMATIVA DE HORAS TÉCNICAS'!F$953+'ESTIMATIVA DE HORAS TÉCNICAS'!R465*'ESTIMATIVA DE HORAS TÉCNICAS'!F$954</f>
        <v>1537.3522497977581</v>
      </c>
      <c r="E462" s="411">
        <f>'CALCULO DO FATO K'!D$10</f>
        <v>2.3175723620309046</v>
      </c>
      <c r="F462" s="714"/>
      <c r="G462" s="714"/>
      <c r="H462" s="411">
        <f t="shared" si="22"/>
        <v>3562.9250848373154</v>
      </c>
      <c r="I462" s="416"/>
      <c r="J462" s="767"/>
    </row>
    <row r="463" spans="1:10" ht="15.75">
      <c r="A463" s="426" t="s">
        <v>485</v>
      </c>
      <c r="B463" s="428" t="s">
        <v>213</v>
      </c>
      <c r="C463" s="410"/>
      <c r="D463" s="787">
        <f>'ESTIMATIVA DE HORAS TÉCNICAS'!F466*'ESTIMATIVA DE HORAS TÉCNICAS'!F$943+'ESTIMATIVA DE HORAS TÉCNICAS'!G466*'ESTIMATIVA DE HORAS TÉCNICAS'!F$942+'ESTIMATIVA DE HORAS TÉCNICAS'!H466*'ESTIMATIVA DE HORAS TÉCNICAS'!F$941+'ESTIMATIVA DE HORAS TÉCNICAS'!I466*'ESTIMATIVA DE HORAS TÉCNICAS'!F$945+'ESTIMATIVA DE HORAS TÉCNICAS'!J466*'ESTIMATIVA DE HORAS TÉCNICAS'!F$946+'ESTIMATIVA DE HORAS TÉCNICAS'!K466*'ESTIMATIVA DE HORAS TÉCNICAS'!$F$944+'ESTIMATIVA DE HORAS TÉCNICAS'!L466*'ESTIMATIVA DE HORAS TÉCNICAS'!F$951+'ESTIMATIVA DE HORAS TÉCNICAS'!M466*'ESTIMATIVA DE HORAS TÉCNICAS'!F$950+'ESTIMATIVA DE HORAS TÉCNICAS'!N466*'ESTIMATIVA DE HORAS TÉCNICAS'!F$949+'ESTIMATIVA DE HORAS TÉCNICAS'!O466*'ESTIMATIVA DE HORAS TÉCNICAS'!F$948+'ESTIMATIVA DE HORAS TÉCNICAS'!P466*'ESTIMATIVA DE HORAS TÉCNICAS'!$F$947+'ESTIMATIVA DE HORAS TÉCNICAS'!Q466*'ESTIMATIVA DE HORAS TÉCNICAS'!F$953+'ESTIMATIVA DE HORAS TÉCNICAS'!R466*'ESTIMATIVA DE HORAS TÉCNICAS'!F$954</f>
        <v>1537.3522497977581</v>
      </c>
      <c r="E463" s="411">
        <f>'CALCULO DO FATO K'!D$10</f>
        <v>2.3175723620309046</v>
      </c>
      <c r="F463" s="714"/>
      <c r="G463" s="714"/>
      <c r="H463" s="411">
        <f t="shared" si="22"/>
        <v>3562.9250848373154</v>
      </c>
      <c r="I463" s="416"/>
      <c r="J463" s="767"/>
    </row>
    <row r="464" spans="1:10" ht="15.75">
      <c r="A464" s="426" t="s">
        <v>486</v>
      </c>
      <c r="B464" s="428" t="s">
        <v>229</v>
      </c>
      <c r="C464" s="410"/>
      <c r="D464" s="787">
        <f>'ESTIMATIVA DE HORAS TÉCNICAS'!F467*'ESTIMATIVA DE HORAS TÉCNICAS'!F$943+'ESTIMATIVA DE HORAS TÉCNICAS'!G467*'ESTIMATIVA DE HORAS TÉCNICAS'!F$942+'ESTIMATIVA DE HORAS TÉCNICAS'!H467*'ESTIMATIVA DE HORAS TÉCNICAS'!F$941+'ESTIMATIVA DE HORAS TÉCNICAS'!I467*'ESTIMATIVA DE HORAS TÉCNICAS'!F$945+'ESTIMATIVA DE HORAS TÉCNICAS'!J467*'ESTIMATIVA DE HORAS TÉCNICAS'!F$946+'ESTIMATIVA DE HORAS TÉCNICAS'!K467*'ESTIMATIVA DE HORAS TÉCNICAS'!$F$944+'ESTIMATIVA DE HORAS TÉCNICAS'!L467*'ESTIMATIVA DE HORAS TÉCNICAS'!F$951+'ESTIMATIVA DE HORAS TÉCNICAS'!M467*'ESTIMATIVA DE HORAS TÉCNICAS'!F$950+'ESTIMATIVA DE HORAS TÉCNICAS'!N467*'ESTIMATIVA DE HORAS TÉCNICAS'!F$949+'ESTIMATIVA DE HORAS TÉCNICAS'!O467*'ESTIMATIVA DE HORAS TÉCNICAS'!F$948+'ESTIMATIVA DE HORAS TÉCNICAS'!P467*'ESTIMATIVA DE HORAS TÉCNICAS'!$F$947+'ESTIMATIVA DE HORAS TÉCNICAS'!Q467*'ESTIMATIVA DE HORAS TÉCNICAS'!F$953+'ESTIMATIVA DE HORAS TÉCNICAS'!R467*'ESTIMATIVA DE HORAS TÉCNICAS'!F$954</f>
        <v>1537.3522497977581</v>
      </c>
      <c r="E464" s="411">
        <f>'CALCULO DO FATO K'!D$10</f>
        <v>2.3175723620309046</v>
      </c>
      <c r="F464" s="714"/>
      <c r="G464" s="714"/>
      <c r="H464" s="411">
        <f t="shared" si="22"/>
        <v>3562.9250848373154</v>
      </c>
      <c r="I464" s="416">
        <f>SUM(H458:H464)</f>
        <v>35629.250848373151</v>
      </c>
      <c r="J464" s="767"/>
    </row>
    <row r="465" spans="1:10" s="532" customFormat="1" ht="15.75">
      <c r="A465" s="426"/>
      <c r="B465" s="428"/>
      <c r="C465" s="410"/>
      <c r="D465" s="787"/>
      <c r="E465" s="411"/>
      <c r="F465" s="714"/>
      <c r="G465" s="714"/>
      <c r="H465" s="411"/>
      <c r="I465" s="416"/>
      <c r="J465" s="767"/>
    </row>
    <row r="466" spans="1:10" ht="15.75">
      <c r="A466" s="426"/>
      <c r="B466" s="768"/>
      <c r="C466" s="409"/>
      <c r="D466" s="787"/>
      <c r="E466" s="714"/>
      <c r="F466" s="714"/>
      <c r="G466" s="714"/>
      <c r="H466" s="714"/>
      <c r="I466" s="416"/>
      <c r="J466" s="767"/>
    </row>
    <row r="467" spans="1:10" ht="15.75">
      <c r="A467" s="391" t="s">
        <v>487</v>
      </c>
      <c r="B467" s="427" t="s">
        <v>231</v>
      </c>
      <c r="C467" s="474"/>
      <c r="D467" s="480"/>
      <c r="E467" s="475"/>
      <c r="F467" s="475"/>
      <c r="G467" s="475"/>
      <c r="H467" s="475"/>
      <c r="I467" s="476"/>
      <c r="J467" s="767"/>
    </row>
    <row r="468" spans="1:10" ht="15.75">
      <c r="A468" s="426" t="s">
        <v>488</v>
      </c>
      <c r="B468" s="428" t="s">
        <v>326</v>
      </c>
      <c r="C468" s="409"/>
      <c r="D468" s="787">
        <f>'ESTIMATIVA DE HORAS TÉCNICAS'!F471*'ESTIMATIVA DE HORAS TÉCNICAS'!F$943+'ESTIMATIVA DE HORAS TÉCNICAS'!G471*'ESTIMATIVA DE HORAS TÉCNICAS'!F$942+'ESTIMATIVA DE HORAS TÉCNICAS'!H471*'ESTIMATIVA DE HORAS TÉCNICAS'!F$941+'ESTIMATIVA DE HORAS TÉCNICAS'!I471*'ESTIMATIVA DE HORAS TÉCNICAS'!F$945+'ESTIMATIVA DE HORAS TÉCNICAS'!J471*'ESTIMATIVA DE HORAS TÉCNICAS'!F$946+'ESTIMATIVA DE HORAS TÉCNICAS'!K471*'ESTIMATIVA DE HORAS TÉCNICAS'!$F$944+'ESTIMATIVA DE HORAS TÉCNICAS'!L471*'ESTIMATIVA DE HORAS TÉCNICAS'!F$951+'ESTIMATIVA DE HORAS TÉCNICAS'!M471*'ESTIMATIVA DE HORAS TÉCNICAS'!F$950+'ESTIMATIVA DE HORAS TÉCNICAS'!N471*'ESTIMATIVA DE HORAS TÉCNICAS'!F$949+'ESTIMATIVA DE HORAS TÉCNICAS'!O471*'ESTIMATIVA DE HORAS TÉCNICAS'!F$948+'ESTIMATIVA DE HORAS TÉCNICAS'!P471*'ESTIMATIVA DE HORAS TÉCNICAS'!$F$947+'ESTIMATIVA DE HORAS TÉCNICAS'!Q471*'ESTIMATIVA DE HORAS TÉCNICAS'!F$953+'ESTIMATIVA DE HORAS TÉCNICAS'!R471*'ESTIMATIVA DE HORAS TÉCNICAS'!F$954</f>
        <v>11034.138752744713</v>
      </c>
      <c r="E468" s="411">
        <f>'CALCULO DO FATO K'!D$10</f>
        <v>2.3175723620309046</v>
      </c>
      <c r="F468" s="714"/>
      <c r="G468" s="714"/>
      <c r="H468" s="411">
        <f t="shared" ref="H468:H474" si="23">D468*E468</f>
        <v>25572.415012175305</v>
      </c>
      <c r="I468" s="416"/>
      <c r="J468" s="767"/>
    </row>
    <row r="469" spans="1:10" ht="15.75">
      <c r="A469" s="426" t="s">
        <v>489</v>
      </c>
      <c r="B469" s="428" t="s">
        <v>135</v>
      </c>
      <c r="C469" s="409"/>
      <c r="D469" s="787">
        <f>'ESTIMATIVA DE HORAS TÉCNICAS'!F472*'ESTIMATIVA DE HORAS TÉCNICAS'!F$943+'ESTIMATIVA DE HORAS TÉCNICAS'!G472*'ESTIMATIVA DE HORAS TÉCNICAS'!F$942+'ESTIMATIVA DE HORAS TÉCNICAS'!H472*'ESTIMATIVA DE HORAS TÉCNICAS'!F$941+'ESTIMATIVA DE HORAS TÉCNICAS'!I472*'ESTIMATIVA DE HORAS TÉCNICAS'!F$945+'ESTIMATIVA DE HORAS TÉCNICAS'!J472*'ESTIMATIVA DE HORAS TÉCNICAS'!F$946+'ESTIMATIVA DE HORAS TÉCNICAS'!K472*'ESTIMATIVA DE HORAS TÉCNICAS'!$F$944+'ESTIMATIVA DE HORAS TÉCNICAS'!L472*'ESTIMATIVA DE HORAS TÉCNICAS'!F$951+'ESTIMATIVA DE HORAS TÉCNICAS'!M472*'ESTIMATIVA DE HORAS TÉCNICAS'!F$950+'ESTIMATIVA DE HORAS TÉCNICAS'!N472*'ESTIMATIVA DE HORAS TÉCNICAS'!F$949+'ESTIMATIVA DE HORAS TÉCNICAS'!O472*'ESTIMATIVA DE HORAS TÉCNICAS'!F$948+'ESTIMATIVA DE HORAS TÉCNICAS'!P472*'ESTIMATIVA DE HORAS TÉCNICAS'!$F$947+'ESTIMATIVA DE HORAS TÉCNICAS'!Q472*'ESTIMATIVA DE HORAS TÉCNICAS'!F$953+'ESTIMATIVA DE HORAS TÉCNICAS'!R472*'ESTIMATIVA DE HORAS TÉCNICAS'!F$954</f>
        <v>4413.6555010978855</v>
      </c>
      <c r="E469" s="411">
        <f>'CALCULO DO FATO K'!D$10</f>
        <v>2.3175723620309046</v>
      </c>
      <c r="F469" s="714"/>
      <c r="G469" s="714"/>
      <c r="H469" s="411">
        <f t="shared" si="23"/>
        <v>10228.966004870123</v>
      </c>
      <c r="I469" s="416"/>
      <c r="J469" s="767"/>
    </row>
    <row r="470" spans="1:10" ht="15.75">
      <c r="A470" s="426" t="s">
        <v>490</v>
      </c>
      <c r="B470" s="428" t="s">
        <v>105</v>
      </c>
      <c r="C470" s="409"/>
      <c r="D470" s="787">
        <f>'ESTIMATIVA DE HORAS TÉCNICAS'!F473*'ESTIMATIVA DE HORAS TÉCNICAS'!F$943+'ESTIMATIVA DE HORAS TÉCNICAS'!G473*'ESTIMATIVA DE HORAS TÉCNICAS'!F$942+'ESTIMATIVA DE HORAS TÉCNICAS'!H473*'ESTIMATIVA DE HORAS TÉCNICAS'!F$941+'ESTIMATIVA DE HORAS TÉCNICAS'!I473*'ESTIMATIVA DE HORAS TÉCNICAS'!F$945+'ESTIMATIVA DE HORAS TÉCNICAS'!J473*'ESTIMATIVA DE HORAS TÉCNICAS'!F$946+'ESTIMATIVA DE HORAS TÉCNICAS'!K473*'ESTIMATIVA DE HORAS TÉCNICAS'!$F$944+'ESTIMATIVA DE HORAS TÉCNICAS'!L473*'ESTIMATIVA DE HORAS TÉCNICAS'!F$951+'ESTIMATIVA DE HORAS TÉCNICAS'!M473*'ESTIMATIVA DE HORAS TÉCNICAS'!F$950+'ESTIMATIVA DE HORAS TÉCNICAS'!N473*'ESTIMATIVA DE HORAS TÉCNICAS'!F$949+'ESTIMATIVA DE HORAS TÉCNICAS'!O473*'ESTIMATIVA DE HORAS TÉCNICAS'!F$948+'ESTIMATIVA DE HORAS TÉCNICAS'!P473*'ESTIMATIVA DE HORAS TÉCNICAS'!$F$947+'ESTIMATIVA DE HORAS TÉCNICAS'!Q473*'ESTIMATIVA DE HORAS TÉCNICAS'!F$953+'ESTIMATIVA DE HORAS TÉCNICAS'!R473*'ESTIMATIVA DE HORAS TÉCNICAS'!F$954</f>
        <v>4413.6555010978855</v>
      </c>
      <c r="E470" s="411">
        <f>'CALCULO DO FATO K'!D$10</f>
        <v>2.3175723620309046</v>
      </c>
      <c r="F470" s="714"/>
      <c r="G470" s="714"/>
      <c r="H470" s="411">
        <f t="shared" si="23"/>
        <v>10228.966004870123</v>
      </c>
      <c r="I470" s="416"/>
      <c r="J470" s="767"/>
    </row>
    <row r="471" spans="1:10" ht="15.75">
      <c r="A471" s="426" t="s">
        <v>491</v>
      </c>
      <c r="B471" s="428" t="s">
        <v>142</v>
      </c>
      <c r="C471" s="409"/>
      <c r="D471" s="787">
        <f>'ESTIMATIVA DE HORAS TÉCNICAS'!F474*'ESTIMATIVA DE HORAS TÉCNICAS'!F$943+'ESTIMATIVA DE HORAS TÉCNICAS'!G474*'ESTIMATIVA DE HORAS TÉCNICAS'!F$942+'ESTIMATIVA DE HORAS TÉCNICAS'!H474*'ESTIMATIVA DE HORAS TÉCNICAS'!F$941+'ESTIMATIVA DE HORAS TÉCNICAS'!I474*'ESTIMATIVA DE HORAS TÉCNICAS'!F$945+'ESTIMATIVA DE HORAS TÉCNICAS'!J474*'ESTIMATIVA DE HORAS TÉCNICAS'!F$946+'ESTIMATIVA DE HORAS TÉCNICAS'!K474*'ESTIMATIVA DE HORAS TÉCNICAS'!$F$944+'ESTIMATIVA DE HORAS TÉCNICAS'!L474*'ESTIMATIVA DE HORAS TÉCNICAS'!F$951+'ESTIMATIVA DE HORAS TÉCNICAS'!M474*'ESTIMATIVA DE HORAS TÉCNICAS'!F$950+'ESTIMATIVA DE HORAS TÉCNICAS'!N474*'ESTIMATIVA DE HORAS TÉCNICAS'!F$949+'ESTIMATIVA DE HORAS TÉCNICAS'!O474*'ESTIMATIVA DE HORAS TÉCNICAS'!F$948+'ESTIMATIVA DE HORAS TÉCNICAS'!P474*'ESTIMATIVA DE HORAS TÉCNICAS'!$F$947+'ESTIMATIVA DE HORAS TÉCNICAS'!Q474*'ESTIMATIVA DE HORAS TÉCNICAS'!F$953+'ESTIMATIVA DE HORAS TÉCNICAS'!R474*'ESTIMATIVA DE HORAS TÉCNICAS'!F$954</f>
        <v>11034.138752744713</v>
      </c>
      <c r="E471" s="411">
        <f>'CALCULO DO FATO K'!D$10</f>
        <v>2.3175723620309046</v>
      </c>
      <c r="F471" s="714"/>
      <c r="G471" s="714"/>
      <c r="H471" s="411">
        <f t="shared" si="23"/>
        <v>25572.415012175305</v>
      </c>
      <c r="I471" s="416"/>
      <c r="J471" s="767"/>
    </row>
    <row r="472" spans="1:10" ht="15.75">
      <c r="A472" s="426" t="s">
        <v>492</v>
      </c>
      <c r="B472" s="428" t="s">
        <v>150</v>
      </c>
      <c r="C472" s="409"/>
      <c r="D472" s="787">
        <f>'ESTIMATIVA DE HORAS TÉCNICAS'!F475*'ESTIMATIVA DE HORAS TÉCNICAS'!F$943+'ESTIMATIVA DE HORAS TÉCNICAS'!G475*'ESTIMATIVA DE HORAS TÉCNICAS'!F$942+'ESTIMATIVA DE HORAS TÉCNICAS'!H475*'ESTIMATIVA DE HORAS TÉCNICAS'!F$941+'ESTIMATIVA DE HORAS TÉCNICAS'!I475*'ESTIMATIVA DE HORAS TÉCNICAS'!F$945+'ESTIMATIVA DE HORAS TÉCNICAS'!J475*'ESTIMATIVA DE HORAS TÉCNICAS'!F$946+'ESTIMATIVA DE HORAS TÉCNICAS'!K475*'ESTIMATIVA DE HORAS TÉCNICAS'!$F$944+'ESTIMATIVA DE HORAS TÉCNICAS'!L475*'ESTIMATIVA DE HORAS TÉCNICAS'!F$951+'ESTIMATIVA DE HORAS TÉCNICAS'!M475*'ESTIMATIVA DE HORAS TÉCNICAS'!F$950+'ESTIMATIVA DE HORAS TÉCNICAS'!N475*'ESTIMATIVA DE HORAS TÉCNICAS'!F$949+'ESTIMATIVA DE HORAS TÉCNICAS'!O475*'ESTIMATIVA DE HORAS TÉCNICAS'!F$948+'ESTIMATIVA DE HORAS TÉCNICAS'!P475*'ESTIMATIVA DE HORAS TÉCNICAS'!$F$947+'ESTIMATIVA DE HORAS TÉCNICAS'!Q475*'ESTIMATIVA DE HORAS TÉCNICAS'!F$953+'ESTIMATIVA DE HORAS TÉCNICAS'!R475*'ESTIMATIVA DE HORAS TÉCNICAS'!F$954</f>
        <v>4413.6555010978855</v>
      </c>
      <c r="E472" s="411">
        <f>'CALCULO DO FATO K'!D$10</f>
        <v>2.3175723620309046</v>
      </c>
      <c r="F472" s="714"/>
      <c r="G472" s="714"/>
      <c r="H472" s="411">
        <f t="shared" si="23"/>
        <v>10228.966004870123</v>
      </c>
      <c r="I472" s="416"/>
      <c r="J472" s="767"/>
    </row>
    <row r="473" spans="1:10" ht="15.75">
      <c r="A473" s="426" t="s">
        <v>493</v>
      </c>
      <c r="B473" s="428" t="s">
        <v>213</v>
      </c>
      <c r="C473" s="410"/>
      <c r="D473" s="787">
        <f>'ESTIMATIVA DE HORAS TÉCNICAS'!F476*'ESTIMATIVA DE HORAS TÉCNICAS'!F$943+'ESTIMATIVA DE HORAS TÉCNICAS'!G476*'ESTIMATIVA DE HORAS TÉCNICAS'!F$942+'ESTIMATIVA DE HORAS TÉCNICAS'!H476*'ESTIMATIVA DE HORAS TÉCNICAS'!F$941+'ESTIMATIVA DE HORAS TÉCNICAS'!I476*'ESTIMATIVA DE HORAS TÉCNICAS'!F$945+'ESTIMATIVA DE HORAS TÉCNICAS'!J476*'ESTIMATIVA DE HORAS TÉCNICAS'!F$946+'ESTIMATIVA DE HORAS TÉCNICAS'!K476*'ESTIMATIVA DE HORAS TÉCNICAS'!$F$944+'ESTIMATIVA DE HORAS TÉCNICAS'!L476*'ESTIMATIVA DE HORAS TÉCNICAS'!F$951+'ESTIMATIVA DE HORAS TÉCNICAS'!M476*'ESTIMATIVA DE HORAS TÉCNICAS'!F$950+'ESTIMATIVA DE HORAS TÉCNICAS'!N476*'ESTIMATIVA DE HORAS TÉCNICAS'!F$949+'ESTIMATIVA DE HORAS TÉCNICAS'!O476*'ESTIMATIVA DE HORAS TÉCNICAS'!F$948+'ESTIMATIVA DE HORAS TÉCNICAS'!P476*'ESTIMATIVA DE HORAS TÉCNICAS'!$F$947+'ESTIMATIVA DE HORAS TÉCNICAS'!Q476*'ESTIMATIVA DE HORAS TÉCNICAS'!F$953+'ESTIMATIVA DE HORAS TÉCNICAS'!R476*'ESTIMATIVA DE HORAS TÉCNICAS'!F$954</f>
        <v>4413.6555010978855</v>
      </c>
      <c r="E473" s="411">
        <f>'CALCULO DO FATO K'!D$10</f>
        <v>2.3175723620309046</v>
      </c>
      <c r="F473" s="714"/>
      <c r="G473" s="714"/>
      <c r="H473" s="411">
        <f t="shared" si="23"/>
        <v>10228.966004870123</v>
      </c>
      <c r="I473" s="416"/>
      <c r="J473" s="767"/>
    </row>
    <row r="474" spans="1:10" ht="15.75">
      <c r="A474" s="426" t="s">
        <v>494</v>
      </c>
      <c r="B474" s="428" t="s">
        <v>152</v>
      </c>
      <c r="C474" s="410"/>
      <c r="D474" s="787">
        <f>'ESTIMATIVA DE HORAS TÉCNICAS'!F477*'ESTIMATIVA DE HORAS TÉCNICAS'!F$943+'ESTIMATIVA DE HORAS TÉCNICAS'!G477*'ESTIMATIVA DE HORAS TÉCNICAS'!F$942+'ESTIMATIVA DE HORAS TÉCNICAS'!H477*'ESTIMATIVA DE HORAS TÉCNICAS'!F$941+'ESTIMATIVA DE HORAS TÉCNICAS'!I477*'ESTIMATIVA DE HORAS TÉCNICAS'!F$945+'ESTIMATIVA DE HORAS TÉCNICAS'!J477*'ESTIMATIVA DE HORAS TÉCNICAS'!F$946+'ESTIMATIVA DE HORAS TÉCNICAS'!K477*'ESTIMATIVA DE HORAS TÉCNICAS'!$F$944+'ESTIMATIVA DE HORAS TÉCNICAS'!L477*'ESTIMATIVA DE HORAS TÉCNICAS'!F$951+'ESTIMATIVA DE HORAS TÉCNICAS'!M477*'ESTIMATIVA DE HORAS TÉCNICAS'!F$950+'ESTIMATIVA DE HORAS TÉCNICAS'!N477*'ESTIMATIVA DE HORAS TÉCNICAS'!F$949+'ESTIMATIVA DE HORAS TÉCNICAS'!O477*'ESTIMATIVA DE HORAS TÉCNICAS'!F$948+'ESTIMATIVA DE HORAS TÉCNICAS'!P477*'ESTIMATIVA DE HORAS TÉCNICAS'!$F$947+'ESTIMATIVA DE HORAS TÉCNICAS'!Q477*'ESTIMATIVA DE HORAS TÉCNICAS'!F$953+'ESTIMATIVA DE HORAS TÉCNICAS'!R477*'ESTIMATIVA DE HORAS TÉCNICAS'!F$954</f>
        <v>4413.6555010978855</v>
      </c>
      <c r="E474" s="411">
        <f>'CALCULO DO FATO K'!D$10</f>
        <v>2.3175723620309046</v>
      </c>
      <c r="F474" s="714"/>
      <c r="G474" s="714"/>
      <c r="H474" s="411">
        <f t="shared" si="23"/>
        <v>10228.966004870123</v>
      </c>
      <c r="I474" s="416">
        <f>SUM(H468:H474)</f>
        <v>102289.6600487012</v>
      </c>
      <c r="J474" s="767"/>
    </row>
    <row r="475" spans="1:10" s="532" customFormat="1" ht="15.75">
      <c r="A475" s="426"/>
      <c r="B475" s="428"/>
      <c r="C475" s="410"/>
      <c r="D475" s="787"/>
      <c r="E475" s="411"/>
      <c r="F475" s="714"/>
      <c r="G475" s="714"/>
      <c r="H475" s="411"/>
      <c r="I475" s="416"/>
      <c r="J475" s="767"/>
    </row>
    <row r="476" spans="1:10" s="284" customFormat="1" ht="15.75">
      <c r="A476" s="426"/>
      <c r="B476" s="768"/>
      <c r="C476" s="409"/>
      <c r="D476" s="787"/>
      <c r="E476" s="411"/>
      <c r="F476" s="714"/>
      <c r="G476" s="714"/>
      <c r="H476" s="411"/>
      <c r="I476" s="416"/>
      <c r="J476" s="767"/>
    </row>
    <row r="477" spans="1:10" ht="15.75">
      <c r="A477" s="391" t="s">
        <v>495</v>
      </c>
      <c r="B477" s="427" t="s">
        <v>238</v>
      </c>
      <c r="C477" s="474"/>
      <c r="D477" s="480"/>
      <c r="E477" s="475"/>
      <c r="F477" s="475"/>
      <c r="G477" s="475"/>
      <c r="H477" s="475"/>
      <c r="I477" s="476"/>
      <c r="J477" s="767"/>
    </row>
    <row r="478" spans="1:10" ht="15.75">
      <c r="A478" s="426" t="s">
        <v>496</v>
      </c>
      <c r="B478" s="428" t="s">
        <v>326</v>
      </c>
      <c r="C478" s="409"/>
      <c r="D478" s="787">
        <f>'ESTIMATIVA DE HORAS TÉCNICAS'!F481*'ESTIMATIVA DE HORAS TÉCNICAS'!F$943+'ESTIMATIVA DE HORAS TÉCNICAS'!G481*'ESTIMATIVA DE HORAS TÉCNICAS'!F$942+'ESTIMATIVA DE HORAS TÉCNICAS'!H481*'ESTIMATIVA DE HORAS TÉCNICAS'!F$941+'ESTIMATIVA DE HORAS TÉCNICAS'!I481*'ESTIMATIVA DE HORAS TÉCNICAS'!F$945+'ESTIMATIVA DE HORAS TÉCNICAS'!J481*'ESTIMATIVA DE HORAS TÉCNICAS'!F$946+'ESTIMATIVA DE HORAS TÉCNICAS'!K481*'ESTIMATIVA DE HORAS TÉCNICAS'!$F$944+'ESTIMATIVA DE HORAS TÉCNICAS'!L481*'ESTIMATIVA DE HORAS TÉCNICAS'!F$951+'ESTIMATIVA DE HORAS TÉCNICAS'!M481*'ESTIMATIVA DE HORAS TÉCNICAS'!F$950+'ESTIMATIVA DE HORAS TÉCNICAS'!N481*'ESTIMATIVA DE HORAS TÉCNICAS'!F$949+'ESTIMATIVA DE HORAS TÉCNICAS'!O481*'ESTIMATIVA DE HORAS TÉCNICAS'!F$948+'ESTIMATIVA DE HORAS TÉCNICAS'!P481*'ESTIMATIVA DE HORAS TÉCNICAS'!$F$947+'ESTIMATIVA DE HORAS TÉCNICAS'!Q481*'ESTIMATIVA DE HORAS TÉCNICAS'!F$953+'ESTIMATIVA DE HORAS TÉCNICAS'!R481*'ESTIMATIVA DE HORAS TÉCNICAS'!F$954</f>
        <v>8984.514687160523</v>
      </c>
      <c r="E478" s="411">
        <f>'CALCULO DO FATO K'!D$10</f>
        <v>2.3175723620309046</v>
      </c>
      <c r="F478" s="714"/>
      <c r="G478" s="714"/>
      <c r="H478" s="411">
        <f t="shared" ref="H478:H483" si="24">D478*E478</f>
        <v>20822.262925223968</v>
      </c>
      <c r="I478" s="416"/>
      <c r="J478" s="767"/>
    </row>
    <row r="479" spans="1:10" ht="15.75">
      <c r="A479" s="426" t="s">
        <v>497</v>
      </c>
      <c r="B479" s="428" t="s">
        <v>135</v>
      </c>
      <c r="C479" s="409"/>
      <c r="D479" s="787">
        <f>'ESTIMATIVA DE HORAS TÉCNICAS'!F482*'ESTIMATIVA DE HORAS TÉCNICAS'!F$943+'ESTIMATIVA DE HORAS TÉCNICAS'!G482*'ESTIMATIVA DE HORAS TÉCNICAS'!F$942+'ESTIMATIVA DE HORAS TÉCNICAS'!H482*'ESTIMATIVA DE HORAS TÉCNICAS'!F$941+'ESTIMATIVA DE HORAS TÉCNICAS'!I482*'ESTIMATIVA DE HORAS TÉCNICAS'!F$945+'ESTIMATIVA DE HORAS TÉCNICAS'!J482*'ESTIMATIVA DE HORAS TÉCNICAS'!F$946+'ESTIMATIVA DE HORAS TÉCNICAS'!K482*'ESTIMATIVA DE HORAS TÉCNICAS'!$F$944+'ESTIMATIVA DE HORAS TÉCNICAS'!L482*'ESTIMATIVA DE HORAS TÉCNICAS'!F$951+'ESTIMATIVA DE HORAS TÉCNICAS'!M482*'ESTIMATIVA DE HORAS TÉCNICAS'!F$950+'ESTIMATIVA DE HORAS TÉCNICAS'!N482*'ESTIMATIVA DE HORAS TÉCNICAS'!F$949+'ESTIMATIVA DE HORAS TÉCNICAS'!O482*'ESTIMATIVA DE HORAS TÉCNICAS'!F$948+'ESTIMATIVA DE HORAS TÉCNICAS'!P482*'ESTIMATIVA DE HORAS TÉCNICAS'!$F$947+'ESTIMATIVA DE HORAS TÉCNICAS'!Q482*'ESTIMATIVA DE HORAS TÉCNICAS'!F$953+'ESTIMATIVA DE HORAS TÉCNICAS'!R482*'ESTIMATIVA DE HORAS TÉCNICAS'!F$954</f>
        <v>4492.2573435802615</v>
      </c>
      <c r="E479" s="411">
        <f>'CALCULO DO FATO K'!D$10</f>
        <v>2.3175723620309046</v>
      </c>
      <c r="F479" s="714"/>
      <c r="G479" s="714"/>
      <c r="H479" s="411">
        <f t="shared" si="24"/>
        <v>10411.131462611984</v>
      </c>
      <c r="I479" s="416"/>
      <c r="J479" s="767"/>
    </row>
    <row r="480" spans="1:10" ht="15.75">
      <c r="A480" s="426" t="s">
        <v>498</v>
      </c>
      <c r="B480" s="428" t="s">
        <v>105</v>
      </c>
      <c r="C480" s="409"/>
      <c r="D480" s="787">
        <f>'ESTIMATIVA DE HORAS TÉCNICAS'!F483*'ESTIMATIVA DE HORAS TÉCNICAS'!F$943+'ESTIMATIVA DE HORAS TÉCNICAS'!G483*'ESTIMATIVA DE HORAS TÉCNICAS'!F$942+'ESTIMATIVA DE HORAS TÉCNICAS'!H483*'ESTIMATIVA DE HORAS TÉCNICAS'!F$941+'ESTIMATIVA DE HORAS TÉCNICAS'!I483*'ESTIMATIVA DE HORAS TÉCNICAS'!F$945+'ESTIMATIVA DE HORAS TÉCNICAS'!J483*'ESTIMATIVA DE HORAS TÉCNICAS'!F$946+'ESTIMATIVA DE HORAS TÉCNICAS'!K483*'ESTIMATIVA DE HORAS TÉCNICAS'!$F$944+'ESTIMATIVA DE HORAS TÉCNICAS'!L483*'ESTIMATIVA DE HORAS TÉCNICAS'!F$951+'ESTIMATIVA DE HORAS TÉCNICAS'!M483*'ESTIMATIVA DE HORAS TÉCNICAS'!F$950+'ESTIMATIVA DE HORAS TÉCNICAS'!N483*'ESTIMATIVA DE HORAS TÉCNICAS'!F$949+'ESTIMATIVA DE HORAS TÉCNICAS'!O483*'ESTIMATIVA DE HORAS TÉCNICAS'!F$948+'ESTIMATIVA DE HORAS TÉCNICAS'!P483*'ESTIMATIVA DE HORAS TÉCNICAS'!$F$947+'ESTIMATIVA DE HORAS TÉCNICAS'!Q483*'ESTIMATIVA DE HORAS TÉCNICAS'!F$953+'ESTIMATIVA DE HORAS TÉCNICAS'!R483*'ESTIMATIVA DE HORAS TÉCNICAS'!F$954</f>
        <v>4492.2573435802615</v>
      </c>
      <c r="E480" s="411">
        <f>'CALCULO DO FATO K'!D$10</f>
        <v>2.3175723620309046</v>
      </c>
      <c r="F480" s="714"/>
      <c r="G480" s="714"/>
      <c r="H480" s="411">
        <f t="shared" si="24"/>
        <v>10411.131462611984</v>
      </c>
      <c r="I480" s="416"/>
      <c r="J480" s="767"/>
    </row>
    <row r="481" spans="1:10" ht="15.75">
      <c r="A481" s="426" t="s">
        <v>499</v>
      </c>
      <c r="B481" s="428" t="s">
        <v>142</v>
      </c>
      <c r="C481" s="409"/>
      <c r="D481" s="787">
        <f>'ESTIMATIVA DE HORAS TÉCNICAS'!F484*'ESTIMATIVA DE HORAS TÉCNICAS'!F$943+'ESTIMATIVA DE HORAS TÉCNICAS'!G484*'ESTIMATIVA DE HORAS TÉCNICAS'!F$942+'ESTIMATIVA DE HORAS TÉCNICAS'!H484*'ESTIMATIVA DE HORAS TÉCNICAS'!F$941+'ESTIMATIVA DE HORAS TÉCNICAS'!I484*'ESTIMATIVA DE HORAS TÉCNICAS'!F$945+'ESTIMATIVA DE HORAS TÉCNICAS'!J484*'ESTIMATIVA DE HORAS TÉCNICAS'!F$946+'ESTIMATIVA DE HORAS TÉCNICAS'!K484*'ESTIMATIVA DE HORAS TÉCNICAS'!$F$944+'ESTIMATIVA DE HORAS TÉCNICAS'!L484*'ESTIMATIVA DE HORAS TÉCNICAS'!F$951+'ESTIMATIVA DE HORAS TÉCNICAS'!M484*'ESTIMATIVA DE HORAS TÉCNICAS'!F$950+'ESTIMATIVA DE HORAS TÉCNICAS'!N484*'ESTIMATIVA DE HORAS TÉCNICAS'!F$949+'ESTIMATIVA DE HORAS TÉCNICAS'!O484*'ESTIMATIVA DE HORAS TÉCNICAS'!F$948+'ESTIMATIVA DE HORAS TÉCNICAS'!P484*'ESTIMATIVA DE HORAS TÉCNICAS'!$F$947+'ESTIMATIVA DE HORAS TÉCNICAS'!Q484*'ESTIMATIVA DE HORAS TÉCNICAS'!F$953+'ESTIMATIVA DE HORAS TÉCNICAS'!R484*'ESTIMATIVA DE HORAS TÉCNICAS'!F$954</f>
        <v>13476.772030740784</v>
      </c>
      <c r="E481" s="411">
        <f>'CALCULO DO FATO K'!D$10</f>
        <v>2.3175723620309046</v>
      </c>
      <c r="F481" s="714"/>
      <c r="G481" s="714"/>
      <c r="H481" s="411">
        <f t="shared" si="24"/>
        <v>31233.39438783595</v>
      </c>
      <c r="I481" s="416"/>
      <c r="J481" s="767"/>
    </row>
    <row r="482" spans="1:10" ht="15.75">
      <c r="A482" s="426" t="s">
        <v>500</v>
      </c>
      <c r="B482" s="428" t="s">
        <v>150</v>
      </c>
      <c r="C482" s="410"/>
      <c r="D482" s="787">
        <f>'ESTIMATIVA DE HORAS TÉCNICAS'!F485*'ESTIMATIVA DE HORAS TÉCNICAS'!F$943+'ESTIMATIVA DE HORAS TÉCNICAS'!G485*'ESTIMATIVA DE HORAS TÉCNICAS'!F$942+'ESTIMATIVA DE HORAS TÉCNICAS'!H485*'ESTIMATIVA DE HORAS TÉCNICAS'!F$941+'ESTIMATIVA DE HORAS TÉCNICAS'!I485*'ESTIMATIVA DE HORAS TÉCNICAS'!F$945+'ESTIMATIVA DE HORAS TÉCNICAS'!J485*'ESTIMATIVA DE HORAS TÉCNICAS'!F$946+'ESTIMATIVA DE HORAS TÉCNICAS'!K485*'ESTIMATIVA DE HORAS TÉCNICAS'!$F$944+'ESTIMATIVA DE HORAS TÉCNICAS'!L485*'ESTIMATIVA DE HORAS TÉCNICAS'!F$951+'ESTIMATIVA DE HORAS TÉCNICAS'!M485*'ESTIMATIVA DE HORAS TÉCNICAS'!F$950+'ESTIMATIVA DE HORAS TÉCNICAS'!N485*'ESTIMATIVA DE HORAS TÉCNICAS'!F$949+'ESTIMATIVA DE HORAS TÉCNICAS'!O485*'ESTIMATIVA DE HORAS TÉCNICAS'!F$948+'ESTIMATIVA DE HORAS TÉCNICAS'!P485*'ESTIMATIVA DE HORAS TÉCNICAS'!$F$947+'ESTIMATIVA DE HORAS TÉCNICAS'!Q485*'ESTIMATIVA DE HORAS TÉCNICAS'!F$953+'ESTIMATIVA DE HORAS TÉCNICAS'!R485*'ESTIMATIVA DE HORAS TÉCNICAS'!F$954</f>
        <v>8984.514687160523</v>
      </c>
      <c r="E482" s="411">
        <f>'CALCULO DO FATO K'!D$10</f>
        <v>2.3175723620309046</v>
      </c>
      <c r="F482" s="714"/>
      <c r="G482" s="714"/>
      <c r="H482" s="411">
        <f t="shared" si="24"/>
        <v>20822.262925223968</v>
      </c>
      <c r="I482" s="416"/>
      <c r="J482" s="767"/>
    </row>
    <row r="483" spans="1:10" ht="15.75">
      <c r="A483" s="426" t="s">
        <v>501</v>
      </c>
      <c r="B483" s="428" t="s">
        <v>213</v>
      </c>
      <c r="C483" s="410"/>
      <c r="D483" s="787">
        <f>'ESTIMATIVA DE HORAS TÉCNICAS'!F486*'ESTIMATIVA DE HORAS TÉCNICAS'!F$943+'ESTIMATIVA DE HORAS TÉCNICAS'!G486*'ESTIMATIVA DE HORAS TÉCNICAS'!F$942+'ESTIMATIVA DE HORAS TÉCNICAS'!H486*'ESTIMATIVA DE HORAS TÉCNICAS'!F$941+'ESTIMATIVA DE HORAS TÉCNICAS'!I486*'ESTIMATIVA DE HORAS TÉCNICAS'!F$945+'ESTIMATIVA DE HORAS TÉCNICAS'!J486*'ESTIMATIVA DE HORAS TÉCNICAS'!F$946+'ESTIMATIVA DE HORAS TÉCNICAS'!K486*'ESTIMATIVA DE HORAS TÉCNICAS'!$F$944+'ESTIMATIVA DE HORAS TÉCNICAS'!L486*'ESTIMATIVA DE HORAS TÉCNICAS'!F$951+'ESTIMATIVA DE HORAS TÉCNICAS'!M486*'ESTIMATIVA DE HORAS TÉCNICAS'!F$950+'ESTIMATIVA DE HORAS TÉCNICAS'!N486*'ESTIMATIVA DE HORAS TÉCNICAS'!F$949+'ESTIMATIVA DE HORAS TÉCNICAS'!O486*'ESTIMATIVA DE HORAS TÉCNICAS'!F$948+'ESTIMATIVA DE HORAS TÉCNICAS'!P486*'ESTIMATIVA DE HORAS TÉCNICAS'!$F$947+'ESTIMATIVA DE HORAS TÉCNICAS'!Q486*'ESTIMATIVA DE HORAS TÉCNICAS'!F$953+'ESTIMATIVA DE HORAS TÉCNICAS'!R486*'ESTIMATIVA DE HORAS TÉCNICAS'!F$954</f>
        <v>4492.2573435802615</v>
      </c>
      <c r="E483" s="411">
        <f>'CALCULO DO FATO K'!D$10</f>
        <v>2.3175723620309046</v>
      </c>
      <c r="F483" s="714"/>
      <c r="G483" s="714"/>
      <c r="H483" s="411">
        <f t="shared" si="24"/>
        <v>10411.131462611984</v>
      </c>
      <c r="I483" s="416">
        <f>SUM(H478:H483)</f>
        <v>104111.31462611984</v>
      </c>
      <c r="J483" s="767"/>
    </row>
    <row r="484" spans="1:10" s="532" customFormat="1" ht="15.75">
      <c r="A484" s="426"/>
      <c r="B484" s="428"/>
      <c r="C484" s="410"/>
      <c r="D484" s="787"/>
      <c r="E484" s="411"/>
      <c r="F484" s="714"/>
      <c r="G484" s="714"/>
      <c r="H484" s="411"/>
      <c r="I484" s="416"/>
      <c r="J484" s="767"/>
    </row>
    <row r="485" spans="1:10" s="284" customFormat="1" ht="15.75">
      <c r="A485" s="426"/>
      <c r="B485" s="768"/>
      <c r="C485" s="409"/>
      <c r="D485" s="787"/>
      <c r="E485" s="411"/>
      <c r="F485" s="714"/>
      <c r="G485" s="714"/>
      <c r="H485" s="411"/>
      <c r="I485" s="416"/>
      <c r="J485" s="767"/>
    </row>
    <row r="486" spans="1:10" ht="15.75">
      <c r="A486" s="391" t="s">
        <v>502</v>
      </c>
      <c r="B486" s="427" t="s">
        <v>243</v>
      </c>
      <c r="C486" s="474"/>
      <c r="D486" s="480"/>
      <c r="E486" s="475"/>
      <c r="F486" s="475"/>
      <c r="G486" s="475"/>
      <c r="H486" s="475"/>
      <c r="I486" s="476"/>
      <c r="J486" s="767"/>
    </row>
    <row r="487" spans="1:10" ht="15.75">
      <c r="A487" s="426" t="s">
        <v>503</v>
      </c>
      <c r="B487" s="428" t="s">
        <v>326</v>
      </c>
      <c r="C487" s="409"/>
      <c r="D487" s="787">
        <f>'ESTIMATIVA DE HORAS TÉCNICAS'!F490*'ESTIMATIVA DE HORAS TÉCNICAS'!F$943+'ESTIMATIVA DE HORAS TÉCNICAS'!G490*'ESTIMATIVA DE HORAS TÉCNICAS'!F$942+'ESTIMATIVA DE HORAS TÉCNICAS'!H490*'ESTIMATIVA DE HORAS TÉCNICAS'!F$941+'ESTIMATIVA DE HORAS TÉCNICAS'!I490*'ESTIMATIVA DE HORAS TÉCNICAS'!F$945+'ESTIMATIVA DE HORAS TÉCNICAS'!J490*'ESTIMATIVA DE HORAS TÉCNICAS'!F$946+'ESTIMATIVA DE HORAS TÉCNICAS'!K490*'ESTIMATIVA DE HORAS TÉCNICAS'!$F$944+'ESTIMATIVA DE HORAS TÉCNICAS'!L490*'ESTIMATIVA DE HORAS TÉCNICAS'!F$951+'ESTIMATIVA DE HORAS TÉCNICAS'!M490*'ESTIMATIVA DE HORAS TÉCNICAS'!F$950+'ESTIMATIVA DE HORAS TÉCNICAS'!N490*'ESTIMATIVA DE HORAS TÉCNICAS'!F$949+'ESTIMATIVA DE HORAS TÉCNICAS'!O490*'ESTIMATIVA DE HORAS TÉCNICAS'!F$948+'ESTIMATIVA DE HORAS TÉCNICAS'!P490*'ESTIMATIVA DE HORAS TÉCNICAS'!$F$947+'ESTIMATIVA DE HORAS TÉCNICAS'!Q490*'ESTIMATIVA DE HORAS TÉCNICAS'!F$953+'ESTIMATIVA DE HORAS TÉCNICAS'!R490*'ESTIMATIVA DE HORAS TÉCNICAS'!F$954</f>
        <v>1089.3302888015719</v>
      </c>
      <c r="E487" s="411">
        <f>'CALCULO DO FATO K'!D$10</f>
        <v>2.3175723620309046</v>
      </c>
      <c r="F487" s="714"/>
      <c r="G487" s="714"/>
      <c r="H487" s="411">
        <f t="shared" ref="H487:H492" si="25">D487*E487</f>
        <v>2524.6017704496662</v>
      </c>
      <c r="I487" s="416"/>
      <c r="J487" s="767"/>
    </row>
    <row r="488" spans="1:10" ht="15.75">
      <c r="A488" s="426" t="s">
        <v>504</v>
      </c>
      <c r="B488" s="428" t="s">
        <v>135</v>
      </c>
      <c r="C488" s="409"/>
      <c r="D488" s="787">
        <f>'ESTIMATIVA DE HORAS TÉCNICAS'!F491*'ESTIMATIVA DE HORAS TÉCNICAS'!F$943+'ESTIMATIVA DE HORAS TÉCNICAS'!G491*'ESTIMATIVA DE HORAS TÉCNICAS'!F$942+'ESTIMATIVA DE HORAS TÉCNICAS'!H491*'ESTIMATIVA DE HORAS TÉCNICAS'!F$941+'ESTIMATIVA DE HORAS TÉCNICAS'!I491*'ESTIMATIVA DE HORAS TÉCNICAS'!F$945+'ESTIMATIVA DE HORAS TÉCNICAS'!J491*'ESTIMATIVA DE HORAS TÉCNICAS'!F$946+'ESTIMATIVA DE HORAS TÉCNICAS'!K491*'ESTIMATIVA DE HORAS TÉCNICAS'!$F$944+'ESTIMATIVA DE HORAS TÉCNICAS'!L491*'ESTIMATIVA DE HORAS TÉCNICAS'!F$951+'ESTIMATIVA DE HORAS TÉCNICAS'!M491*'ESTIMATIVA DE HORAS TÉCNICAS'!F$950+'ESTIMATIVA DE HORAS TÉCNICAS'!N491*'ESTIMATIVA DE HORAS TÉCNICAS'!F$949+'ESTIMATIVA DE HORAS TÉCNICAS'!O491*'ESTIMATIVA DE HORAS TÉCNICAS'!F$948+'ESTIMATIVA DE HORAS TÉCNICAS'!P491*'ESTIMATIVA DE HORAS TÉCNICAS'!$F$947+'ESTIMATIVA DE HORAS TÉCNICAS'!Q491*'ESTIMATIVA DE HORAS TÉCNICAS'!F$953+'ESTIMATIVA DE HORAS TÉCNICAS'!R491*'ESTIMATIVA DE HORAS TÉCNICAS'!F$954</f>
        <v>1633.9954332023576</v>
      </c>
      <c r="E488" s="411">
        <f>'CALCULO DO FATO K'!D$10</f>
        <v>2.3175723620309046</v>
      </c>
      <c r="F488" s="714"/>
      <c r="G488" s="714"/>
      <c r="H488" s="411">
        <f t="shared" si="25"/>
        <v>3786.9026556744989</v>
      </c>
      <c r="I488" s="416"/>
      <c r="J488" s="767"/>
    </row>
    <row r="489" spans="1:10" ht="15.75">
      <c r="A489" s="426" t="s">
        <v>505</v>
      </c>
      <c r="B489" s="428" t="s">
        <v>105</v>
      </c>
      <c r="C489" s="409"/>
      <c r="D489" s="787">
        <f>'ESTIMATIVA DE HORAS TÉCNICAS'!F492*'ESTIMATIVA DE HORAS TÉCNICAS'!F$943+'ESTIMATIVA DE HORAS TÉCNICAS'!G492*'ESTIMATIVA DE HORAS TÉCNICAS'!F$942+'ESTIMATIVA DE HORAS TÉCNICAS'!H492*'ESTIMATIVA DE HORAS TÉCNICAS'!F$941+'ESTIMATIVA DE HORAS TÉCNICAS'!I492*'ESTIMATIVA DE HORAS TÉCNICAS'!F$945+'ESTIMATIVA DE HORAS TÉCNICAS'!J492*'ESTIMATIVA DE HORAS TÉCNICAS'!F$946+'ESTIMATIVA DE HORAS TÉCNICAS'!K492*'ESTIMATIVA DE HORAS TÉCNICAS'!$F$944+'ESTIMATIVA DE HORAS TÉCNICAS'!L492*'ESTIMATIVA DE HORAS TÉCNICAS'!F$951+'ESTIMATIVA DE HORAS TÉCNICAS'!M492*'ESTIMATIVA DE HORAS TÉCNICAS'!F$950+'ESTIMATIVA DE HORAS TÉCNICAS'!N492*'ESTIMATIVA DE HORAS TÉCNICAS'!F$949+'ESTIMATIVA DE HORAS TÉCNICAS'!O492*'ESTIMATIVA DE HORAS TÉCNICAS'!F$948+'ESTIMATIVA DE HORAS TÉCNICAS'!P492*'ESTIMATIVA DE HORAS TÉCNICAS'!$F$947+'ESTIMATIVA DE HORAS TÉCNICAS'!Q492*'ESTIMATIVA DE HORAS TÉCNICAS'!F$953+'ESTIMATIVA DE HORAS TÉCNICAS'!R492*'ESTIMATIVA DE HORAS TÉCNICAS'!F$954</f>
        <v>1089.3302888015719</v>
      </c>
      <c r="E489" s="411">
        <f>'CALCULO DO FATO K'!D$10</f>
        <v>2.3175723620309046</v>
      </c>
      <c r="F489" s="714"/>
      <c r="G489" s="714"/>
      <c r="H489" s="411">
        <f t="shared" si="25"/>
        <v>2524.6017704496662</v>
      </c>
      <c r="I489" s="416"/>
      <c r="J489" s="767"/>
    </row>
    <row r="490" spans="1:10" ht="15.75">
      <c r="A490" s="426" t="s">
        <v>506</v>
      </c>
      <c r="B490" s="428" t="s">
        <v>142</v>
      </c>
      <c r="C490" s="409"/>
      <c r="D490" s="787">
        <f>'ESTIMATIVA DE HORAS TÉCNICAS'!F493*'ESTIMATIVA DE HORAS TÉCNICAS'!F$943+'ESTIMATIVA DE HORAS TÉCNICAS'!G493*'ESTIMATIVA DE HORAS TÉCNICAS'!F$942+'ESTIMATIVA DE HORAS TÉCNICAS'!H493*'ESTIMATIVA DE HORAS TÉCNICAS'!F$941+'ESTIMATIVA DE HORAS TÉCNICAS'!I493*'ESTIMATIVA DE HORAS TÉCNICAS'!F$945+'ESTIMATIVA DE HORAS TÉCNICAS'!J493*'ESTIMATIVA DE HORAS TÉCNICAS'!F$946+'ESTIMATIVA DE HORAS TÉCNICAS'!K493*'ESTIMATIVA DE HORAS TÉCNICAS'!$F$944+'ESTIMATIVA DE HORAS TÉCNICAS'!L493*'ESTIMATIVA DE HORAS TÉCNICAS'!F$951+'ESTIMATIVA DE HORAS TÉCNICAS'!M493*'ESTIMATIVA DE HORAS TÉCNICAS'!F$950+'ESTIMATIVA DE HORAS TÉCNICAS'!N493*'ESTIMATIVA DE HORAS TÉCNICAS'!F$949+'ESTIMATIVA DE HORAS TÉCNICAS'!O493*'ESTIMATIVA DE HORAS TÉCNICAS'!F$948+'ESTIMATIVA DE HORAS TÉCNICAS'!P493*'ESTIMATIVA DE HORAS TÉCNICAS'!$F$947+'ESTIMATIVA DE HORAS TÉCNICAS'!Q493*'ESTIMATIVA DE HORAS TÉCNICAS'!F$953+'ESTIMATIVA DE HORAS TÉCNICAS'!R493*'ESTIMATIVA DE HORAS TÉCNICAS'!F$954</f>
        <v>3267.9908664047152</v>
      </c>
      <c r="E490" s="411">
        <f>'CALCULO DO FATO K'!D$10</f>
        <v>2.3175723620309046</v>
      </c>
      <c r="F490" s="714"/>
      <c r="G490" s="714"/>
      <c r="H490" s="411">
        <f t="shared" si="25"/>
        <v>7573.8053113489977</v>
      </c>
      <c r="I490" s="416"/>
      <c r="J490" s="767"/>
    </row>
    <row r="491" spans="1:10" ht="15.75">
      <c r="A491" s="426" t="s">
        <v>507</v>
      </c>
      <c r="B491" s="428" t="s">
        <v>150</v>
      </c>
      <c r="C491" s="409"/>
      <c r="D491" s="787">
        <f>'ESTIMATIVA DE HORAS TÉCNICAS'!F494*'ESTIMATIVA DE HORAS TÉCNICAS'!F$943+'ESTIMATIVA DE HORAS TÉCNICAS'!G494*'ESTIMATIVA DE HORAS TÉCNICAS'!F$942+'ESTIMATIVA DE HORAS TÉCNICAS'!H494*'ESTIMATIVA DE HORAS TÉCNICAS'!F$941+'ESTIMATIVA DE HORAS TÉCNICAS'!I494*'ESTIMATIVA DE HORAS TÉCNICAS'!F$945+'ESTIMATIVA DE HORAS TÉCNICAS'!J494*'ESTIMATIVA DE HORAS TÉCNICAS'!F$946+'ESTIMATIVA DE HORAS TÉCNICAS'!K494*'ESTIMATIVA DE HORAS TÉCNICAS'!$F$944+'ESTIMATIVA DE HORAS TÉCNICAS'!L494*'ESTIMATIVA DE HORAS TÉCNICAS'!F$951+'ESTIMATIVA DE HORAS TÉCNICAS'!M494*'ESTIMATIVA DE HORAS TÉCNICAS'!F$950+'ESTIMATIVA DE HORAS TÉCNICAS'!N494*'ESTIMATIVA DE HORAS TÉCNICAS'!F$949+'ESTIMATIVA DE HORAS TÉCNICAS'!O494*'ESTIMATIVA DE HORAS TÉCNICAS'!F$948+'ESTIMATIVA DE HORAS TÉCNICAS'!P494*'ESTIMATIVA DE HORAS TÉCNICAS'!$F$947+'ESTIMATIVA DE HORAS TÉCNICAS'!Q494*'ESTIMATIVA DE HORAS TÉCNICAS'!F$953+'ESTIMATIVA DE HORAS TÉCNICAS'!R494*'ESTIMATIVA DE HORAS TÉCNICAS'!F$954</f>
        <v>2178.6605776031438</v>
      </c>
      <c r="E491" s="411">
        <f>'CALCULO DO FATO K'!D$10</f>
        <v>2.3175723620309046</v>
      </c>
      <c r="F491" s="714"/>
      <c r="G491" s="714"/>
      <c r="H491" s="411">
        <f t="shared" si="25"/>
        <v>5049.2035408993324</v>
      </c>
      <c r="I491" s="416"/>
      <c r="J491" s="767"/>
    </row>
    <row r="492" spans="1:10" ht="15.75">
      <c r="A492" s="426" t="s">
        <v>508</v>
      </c>
      <c r="B492" s="428" t="s">
        <v>213</v>
      </c>
      <c r="C492" s="410"/>
      <c r="D492" s="787">
        <f>'ESTIMATIVA DE HORAS TÉCNICAS'!F495*'ESTIMATIVA DE HORAS TÉCNICAS'!F$943+'ESTIMATIVA DE HORAS TÉCNICAS'!G495*'ESTIMATIVA DE HORAS TÉCNICAS'!F$942+'ESTIMATIVA DE HORAS TÉCNICAS'!H495*'ESTIMATIVA DE HORAS TÉCNICAS'!F$941+'ESTIMATIVA DE HORAS TÉCNICAS'!I495*'ESTIMATIVA DE HORAS TÉCNICAS'!F$945+'ESTIMATIVA DE HORAS TÉCNICAS'!J495*'ESTIMATIVA DE HORAS TÉCNICAS'!F$946+'ESTIMATIVA DE HORAS TÉCNICAS'!K495*'ESTIMATIVA DE HORAS TÉCNICAS'!$F$944+'ESTIMATIVA DE HORAS TÉCNICAS'!L495*'ESTIMATIVA DE HORAS TÉCNICAS'!F$951+'ESTIMATIVA DE HORAS TÉCNICAS'!M495*'ESTIMATIVA DE HORAS TÉCNICAS'!F$950+'ESTIMATIVA DE HORAS TÉCNICAS'!N495*'ESTIMATIVA DE HORAS TÉCNICAS'!F$949+'ESTIMATIVA DE HORAS TÉCNICAS'!O495*'ESTIMATIVA DE HORAS TÉCNICAS'!F$948+'ESTIMATIVA DE HORAS TÉCNICAS'!P495*'ESTIMATIVA DE HORAS TÉCNICAS'!$F$947+'ESTIMATIVA DE HORAS TÉCNICAS'!Q495*'ESTIMATIVA DE HORAS TÉCNICAS'!F$953+'ESTIMATIVA DE HORAS TÉCNICAS'!R495*'ESTIMATIVA DE HORAS TÉCNICAS'!F$954</f>
        <v>1633.9954332023576</v>
      </c>
      <c r="E492" s="411">
        <f>'CALCULO DO FATO K'!D$10</f>
        <v>2.3175723620309046</v>
      </c>
      <c r="F492" s="714"/>
      <c r="G492" s="714"/>
      <c r="H492" s="411">
        <f t="shared" si="25"/>
        <v>3786.9026556744989</v>
      </c>
      <c r="I492" s="416">
        <f>SUM(H487:H492)</f>
        <v>25246.017704496659</v>
      </c>
      <c r="J492" s="767"/>
    </row>
    <row r="493" spans="1:10" s="532" customFormat="1" ht="15.75">
      <c r="A493" s="426"/>
      <c r="B493" s="428"/>
      <c r="C493" s="410"/>
      <c r="D493" s="787"/>
      <c r="E493" s="411"/>
      <c r="F493" s="714"/>
      <c r="G493" s="714"/>
      <c r="H493" s="411"/>
      <c r="I493" s="416"/>
      <c r="J493" s="767"/>
    </row>
    <row r="494" spans="1:10" s="284" customFormat="1" ht="15.75">
      <c r="A494" s="426"/>
      <c r="B494" s="768"/>
      <c r="C494" s="409"/>
      <c r="D494" s="787"/>
      <c r="E494" s="411"/>
      <c r="F494" s="714"/>
      <c r="G494" s="714"/>
      <c r="H494" s="411"/>
      <c r="I494" s="416"/>
      <c r="J494" s="767"/>
    </row>
    <row r="495" spans="1:10" ht="15.75">
      <c r="A495" s="391" t="s">
        <v>509</v>
      </c>
      <c r="B495" s="427" t="s">
        <v>248</v>
      </c>
      <c r="C495" s="478"/>
      <c r="D495" s="480"/>
      <c r="E495" s="475"/>
      <c r="F495" s="475"/>
      <c r="G495" s="475"/>
      <c r="H495" s="475"/>
      <c r="I495" s="476"/>
      <c r="J495" s="767"/>
    </row>
    <row r="496" spans="1:10" ht="15.75">
      <c r="A496" s="426" t="s">
        <v>510</v>
      </c>
      <c r="B496" s="428" t="s">
        <v>326</v>
      </c>
      <c r="C496" s="410"/>
      <c r="D496" s="787">
        <f>'ESTIMATIVA DE HORAS TÉCNICAS'!F499*'ESTIMATIVA DE HORAS TÉCNICAS'!F$943+'ESTIMATIVA DE HORAS TÉCNICAS'!G499*'ESTIMATIVA DE HORAS TÉCNICAS'!F$942+'ESTIMATIVA DE HORAS TÉCNICAS'!H499*'ESTIMATIVA DE HORAS TÉCNICAS'!F$941+'ESTIMATIVA DE HORAS TÉCNICAS'!I499*'ESTIMATIVA DE HORAS TÉCNICAS'!F$945+'ESTIMATIVA DE HORAS TÉCNICAS'!J499*'ESTIMATIVA DE HORAS TÉCNICAS'!F$946+'ESTIMATIVA DE HORAS TÉCNICAS'!K499*'ESTIMATIVA DE HORAS TÉCNICAS'!$F$944+'ESTIMATIVA DE HORAS TÉCNICAS'!L499*'ESTIMATIVA DE HORAS TÉCNICAS'!F$951+'ESTIMATIVA DE HORAS TÉCNICAS'!M499*'ESTIMATIVA DE HORAS TÉCNICAS'!F$950+'ESTIMATIVA DE HORAS TÉCNICAS'!N499*'ESTIMATIVA DE HORAS TÉCNICAS'!F$949+'ESTIMATIVA DE HORAS TÉCNICAS'!O499*'ESTIMATIVA DE HORAS TÉCNICAS'!F$948+'ESTIMATIVA DE HORAS TÉCNICAS'!P499*'ESTIMATIVA DE HORAS TÉCNICAS'!$F$947+'ESTIMATIVA DE HORAS TÉCNICAS'!Q499*'ESTIMATIVA DE HORAS TÉCNICAS'!F$953+'ESTIMATIVA DE HORAS TÉCNICAS'!R499*'ESTIMATIVA DE HORAS TÉCNICAS'!F$954</f>
        <v>4874.1082399167917</v>
      </c>
      <c r="E496" s="411">
        <f>'CALCULO DO FATO K'!D$10</f>
        <v>2.3175723620309046</v>
      </c>
      <c r="F496" s="714"/>
      <c r="G496" s="714"/>
      <c r="H496" s="411">
        <f t="shared" ref="H496:H501" si="26">D496*E496</f>
        <v>11296.098546378254</v>
      </c>
      <c r="I496" s="416"/>
      <c r="J496" s="767"/>
    </row>
    <row r="497" spans="1:10" ht="15.75">
      <c r="A497" s="426" t="s">
        <v>511</v>
      </c>
      <c r="B497" s="428" t="s">
        <v>135</v>
      </c>
      <c r="C497" s="410"/>
      <c r="D497" s="787">
        <f>'ESTIMATIVA DE HORAS TÉCNICAS'!F500*'ESTIMATIVA DE HORAS TÉCNICAS'!F$943+'ESTIMATIVA DE HORAS TÉCNICAS'!G500*'ESTIMATIVA DE HORAS TÉCNICAS'!F$942+'ESTIMATIVA DE HORAS TÉCNICAS'!H500*'ESTIMATIVA DE HORAS TÉCNICAS'!F$941+'ESTIMATIVA DE HORAS TÉCNICAS'!I500*'ESTIMATIVA DE HORAS TÉCNICAS'!F$945+'ESTIMATIVA DE HORAS TÉCNICAS'!J500*'ESTIMATIVA DE HORAS TÉCNICAS'!F$946+'ESTIMATIVA DE HORAS TÉCNICAS'!K500*'ESTIMATIVA DE HORAS TÉCNICAS'!$F$944+'ESTIMATIVA DE HORAS TÉCNICAS'!L500*'ESTIMATIVA DE HORAS TÉCNICAS'!F$951+'ESTIMATIVA DE HORAS TÉCNICAS'!M500*'ESTIMATIVA DE HORAS TÉCNICAS'!F$950+'ESTIMATIVA DE HORAS TÉCNICAS'!N500*'ESTIMATIVA DE HORAS TÉCNICAS'!F$949+'ESTIMATIVA DE HORAS TÉCNICAS'!O500*'ESTIMATIVA DE HORAS TÉCNICAS'!F$948+'ESTIMATIVA DE HORAS TÉCNICAS'!P500*'ESTIMATIVA DE HORAS TÉCNICAS'!$F$947+'ESTIMATIVA DE HORAS TÉCNICAS'!Q500*'ESTIMATIVA DE HORAS TÉCNICAS'!F$953+'ESTIMATIVA DE HORAS TÉCNICAS'!R500*'ESTIMATIVA DE HORAS TÉCNICAS'!F$954</f>
        <v>2437.0541199583959</v>
      </c>
      <c r="E497" s="411">
        <f>'CALCULO DO FATO K'!D$10</f>
        <v>2.3175723620309046</v>
      </c>
      <c r="F497" s="714"/>
      <c r="G497" s="714"/>
      <c r="H497" s="411">
        <f t="shared" si="26"/>
        <v>5648.0492731891272</v>
      </c>
      <c r="I497" s="416"/>
      <c r="J497" s="767"/>
    </row>
    <row r="498" spans="1:10" ht="15.75">
      <c r="A498" s="426" t="s">
        <v>512</v>
      </c>
      <c r="B498" s="428" t="s">
        <v>105</v>
      </c>
      <c r="C498" s="410"/>
      <c r="D498" s="787">
        <f>'ESTIMATIVA DE HORAS TÉCNICAS'!F501*'ESTIMATIVA DE HORAS TÉCNICAS'!F$943+'ESTIMATIVA DE HORAS TÉCNICAS'!G501*'ESTIMATIVA DE HORAS TÉCNICAS'!F$942+'ESTIMATIVA DE HORAS TÉCNICAS'!H501*'ESTIMATIVA DE HORAS TÉCNICAS'!F$941+'ESTIMATIVA DE HORAS TÉCNICAS'!I501*'ESTIMATIVA DE HORAS TÉCNICAS'!F$945+'ESTIMATIVA DE HORAS TÉCNICAS'!J501*'ESTIMATIVA DE HORAS TÉCNICAS'!F$946+'ESTIMATIVA DE HORAS TÉCNICAS'!K501*'ESTIMATIVA DE HORAS TÉCNICAS'!$F$944+'ESTIMATIVA DE HORAS TÉCNICAS'!L501*'ESTIMATIVA DE HORAS TÉCNICAS'!F$951+'ESTIMATIVA DE HORAS TÉCNICAS'!M501*'ESTIMATIVA DE HORAS TÉCNICAS'!F$950+'ESTIMATIVA DE HORAS TÉCNICAS'!N501*'ESTIMATIVA DE HORAS TÉCNICAS'!F$949+'ESTIMATIVA DE HORAS TÉCNICAS'!O501*'ESTIMATIVA DE HORAS TÉCNICAS'!F$948+'ESTIMATIVA DE HORAS TÉCNICAS'!P501*'ESTIMATIVA DE HORAS TÉCNICAS'!$F$947+'ESTIMATIVA DE HORAS TÉCNICAS'!Q501*'ESTIMATIVA DE HORAS TÉCNICAS'!F$953+'ESTIMATIVA DE HORAS TÉCNICAS'!R501*'ESTIMATIVA DE HORAS TÉCNICAS'!F$954</f>
        <v>2437.0541199583959</v>
      </c>
      <c r="E498" s="411">
        <f>'CALCULO DO FATO K'!D$10</f>
        <v>2.3175723620309046</v>
      </c>
      <c r="F498" s="714"/>
      <c r="G498" s="714"/>
      <c r="H498" s="411">
        <f t="shared" si="26"/>
        <v>5648.0492731891272</v>
      </c>
      <c r="I498" s="416"/>
      <c r="J498" s="767"/>
    </row>
    <row r="499" spans="1:10" ht="15.75">
      <c r="A499" s="426" t="s">
        <v>513</v>
      </c>
      <c r="B499" s="428" t="s">
        <v>142</v>
      </c>
      <c r="C499" s="410"/>
      <c r="D499" s="787">
        <f>'ESTIMATIVA DE HORAS TÉCNICAS'!F502*'ESTIMATIVA DE HORAS TÉCNICAS'!F$943+'ESTIMATIVA DE HORAS TÉCNICAS'!G502*'ESTIMATIVA DE HORAS TÉCNICAS'!F$942+'ESTIMATIVA DE HORAS TÉCNICAS'!H502*'ESTIMATIVA DE HORAS TÉCNICAS'!F$941+'ESTIMATIVA DE HORAS TÉCNICAS'!I502*'ESTIMATIVA DE HORAS TÉCNICAS'!F$945+'ESTIMATIVA DE HORAS TÉCNICAS'!J502*'ESTIMATIVA DE HORAS TÉCNICAS'!F$946+'ESTIMATIVA DE HORAS TÉCNICAS'!K502*'ESTIMATIVA DE HORAS TÉCNICAS'!$F$944+'ESTIMATIVA DE HORAS TÉCNICAS'!L502*'ESTIMATIVA DE HORAS TÉCNICAS'!F$951+'ESTIMATIVA DE HORAS TÉCNICAS'!M502*'ESTIMATIVA DE HORAS TÉCNICAS'!F$950+'ESTIMATIVA DE HORAS TÉCNICAS'!N502*'ESTIMATIVA DE HORAS TÉCNICAS'!F$949+'ESTIMATIVA DE HORAS TÉCNICAS'!O502*'ESTIMATIVA DE HORAS TÉCNICAS'!F$948+'ESTIMATIVA DE HORAS TÉCNICAS'!P502*'ESTIMATIVA DE HORAS TÉCNICAS'!$F$947+'ESTIMATIVA DE HORAS TÉCNICAS'!Q502*'ESTIMATIVA DE HORAS TÉCNICAS'!F$953+'ESTIMATIVA DE HORAS TÉCNICAS'!R502*'ESTIMATIVA DE HORAS TÉCNICAS'!F$954</f>
        <v>7311.1623598751876</v>
      </c>
      <c r="E499" s="411">
        <f>'CALCULO DO FATO K'!D$10</f>
        <v>2.3175723620309046</v>
      </c>
      <c r="F499" s="714"/>
      <c r="G499" s="714"/>
      <c r="H499" s="411">
        <f t="shared" si="26"/>
        <v>16944.147819567381</v>
      </c>
      <c r="I499" s="416"/>
      <c r="J499" s="767"/>
    </row>
    <row r="500" spans="1:10" ht="15.75">
      <c r="A500" s="426" t="s">
        <v>514</v>
      </c>
      <c r="B500" s="428" t="s">
        <v>150</v>
      </c>
      <c r="C500" s="410"/>
      <c r="D500" s="787">
        <f>'ESTIMATIVA DE HORAS TÉCNICAS'!F503*'ESTIMATIVA DE HORAS TÉCNICAS'!F$943+'ESTIMATIVA DE HORAS TÉCNICAS'!G503*'ESTIMATIVA DE HORAS TÉCNICAS'!F$942+'ESTIMATIVA DE HORAS TÉCNICAS'!H503*'ESTIMATIVA DE HORAS TÉCNICAS'!F$941+'ESTIMATIVA DE HORAS TÉCNICAS'!I503*'ESTIMATIVA DE HORAS TÉCNICAS'!F$945+'ESTIMATIVA DE HORAS TÉCNICAS'!J503*'ESTIMATIVA DE HORAS TÉCNICAS'!F$946+'ESTIMATIVA DE HORAS TÉCNICAS'!K503*'ESTIMATIVA DE HORAS TÉCNICAS'!$F$944+'ESTIMATIVA DE HORAS TÉCNICAS'!L503*'ESTIMATIVA DE HORAS TÉCNICAS'!F$951+'ESTIMATIVA DE HORAS TÉCNICAS'!M503*'ESTIMATIVA DE HORAS TÉCNICAS'!F$950+'ESTIMATIVA DE HORAS TÉCNICAS'!N503*'ESTIMATIVA DE HORAS TÉCNICAS'!F$949+'ESTIMATIVA DE HORAS TÉCNICAS'!O503*'ESTIMATIVA DE HORAS TÉCNICAS'!F$948+'ESTIMATIVA DE HORAS TÉCNICAS'!P503*'ESTIMATIVA DE HORAS TÉCNICAS'!$F$947+'ESTIMATIVA DE HORAS TÉCNICAS'!Q503*'ESTIMATIVA DE HORAS TÉCNICAS'!F$953+'ESTIMATIVA DE HORAS TÉCNICAS'!R503*'ESTIMATIVA DE HORAS TÉCNICAS'!F$954</f>
        <v>4874.1082399167917</v>
      </c>
      <c r="E500" s="411">
        <f>'CALCULO DO FATO K'!D$10</f>
        <v>2.3175723620309046</v>
      </c>
      <c r="F500" s="714"/>
      <c r="G500" s="714"/>
      <c r="H500" s="411">
        <f t="shared" si="26"/>
        <v>11296.098546378254</v>
      </c>
      <c r="I500" s="416"/>
      <c r="J500" s="767"/>
    </row>
    <row r="501" spans="1:10" ht="15.75">
      <c r="A501" s="426" t="s">
        <v>515</v>
      </c>
      <c r="B501" s="428" t="s">
        <v>213</v>
      </c>
      <c r="C501" s="410"/>
      <c r="D501" s="787">
        <f>'ESTIMATIVA DE HORAS TÉCNICAS'!F504*'ESTIMATIVA DE HORAS TÉCNICAS'!F$943+'ESTIMATIVA DE HORAS TÉCNICAS'!G504*'ESTIMATIVA DE HORAS TÉCNICAS'!F$942+'ESTIMATIVA DE HORAS TÉCNICAS'!H504*'ESTIMATIVA DE HORAS TÉCNICAS'!F$941+'ESTIMATIVA DE HORAS TÉCNICAS'!I504*'ESTIMATIVA DE HORAS TÉCNICAS'!F$945+'ESTIMATIVA DE HORAS TÉCNICAS'!J504*'ESTIMATIVA DE HORAS TÉCNICAS'!F$946+'ESTIMATIVA DE HORAS TÉCNICAS'!K504*'ESTIMATIVA DE HORAS TÉCNICAS'!$F$944+'ESTIMATIVA DE HORAS TÉCNICAS'!L504*'ESTIMATIVA DE HORAS TÉCNICAS'!F$951+'ESTIMATIVA DE HORAS TÉCNICAS'!M504*'ESTIMATIVA DE HORAS TÉCNICAS'!F$950+'ESTIMATIVA DE HORAS TÉCNICAS'!N504*'ESTIMATIVA DE HORAS TÉCNICAS'!F$949+'ESTIMATIVA DE HORAS TÉCNICAS'!O504*'ESTIMATIVA DE HORAS TÉCNICAS'!F$948+'ESTIMATIVA DE HORAS TÉCNICAS'!P504*'ESTIMATIVA DE HORAS TÉCNICAS'!$F$947+'ESTIMATIVA DE HORAS TÉCNICAS'!Q504*'ESTIMATIVA DE HORAS TÉCNICAS'!F$953+'ESTIMATIVA DE HORAS TÉCNICAS'!R504*'ESTIMATIVA DE HORAS TÉCNICAS'!F$954</f>
        <v>2437.0541199583959</v>
      </c>
      <c r="E501" s="411">
        <f>'CALCULO DO FATO K'!D$10</f>
        <v>2.3175723620309046</v>
      </c>
      <c r="F501" s="714"/>
      <c r="G501" s="714"/>
      <c r="H501" s="411">
        <f t="shared" si="26"/>
        <v>5648.0492731891272</v>
      </c>
      <c r="I501" s="416">
        <f>SUM(H496:H501)</f>
        <v>56480.492731891274</v>
      </c>
      <c r="J501" s="767"/>
    </row>
    <row r="502" spans="1:10" s="532" customFormat="1" ht="15.75">
      <c r="A502" s="426"/>
      <c r="B502" s="428"/>
      <c r="C502" s="410"/>
      <c r="D502" s="787"/>
      <c r="E502" s="411"/>
      <c r="F502" s="714"/>
      <c r="G502" s="714"/>
      <c r="H502" s="411"/>
      <c r="I502" s="416"/>
      <c r="J502" s="767"/>
    </row>
    <row r="503" spans="1:10" ht="15.75">
      <c r="A503" s="426"/>
      <c r="B503" s="768"/>
      <c r="C503" s="409"/>
      <c r="D503" s="787"/>
      <c r="E503" s="714"/>
      <c r="F503" s="714"/>
      <c r="G503" s="714"/>
      <c r="H503" s="714"/>
      <c r="I503" s="416"/>
      <c r="J503" s="767"/>
    </row>
    <row r="504" spans="1:10" ht="15.75">
      <c r="A504" s="391" t="s">
        <v>516</v>
      </c>
      <c r="B504" s="427" t="s">
        <v>253</v>
      </c>
      <c r="C504" s="474"/>
      <c r="D504" s="480"/>
      <c r="E504" s="475"/>
      <c r="F504" s="475"/>
      <c r="G504" s="475"/>
      <c r="H504" s="475"/>
      <c r="I504" s="476"/>
      <c r="J504" s="767"/>
    </row>
    <row r="505" spans="1:10" ht="15.75">
      <c r="A505" s="426" t="s">
        <v>517</v>
      </c>
      <c r="B505" s="428" t="s">
        <v>326</v>
      </c>
      <c r="C505" s="409"/>
      <c r="D505" s="787">
        <f>'ESTIMATIVA DE HORAS TÉCNICAS'!F508*'ESTIMATIVA DE HORAS TÉCNICAS'!F$943+'ESTIMATIVA DE HORAS TÉCNICAS'!G508*'ESTIMATIVA DE HORAS TÉCNICAS'!F$942+'ESTIMATIVA DE HORAS TÉCNICAS'!H508*'ESTIMATIVA DE HORAS TÉCNICAS'!F$941+'ESTIMATIVA DE HORAS TÉCNICAS'!I508*'ESTIMATIVA DE HORAS TÉCNICAS'!F$945+'ESTIMATIVA DE HORAS TÉCNICAS'!J508*'ESTIMATIVA DE HORAS TÉCNICAS'!F$946+'ESTIMATIVA DE HORAS TÉCNICAS'!K508*'ESTIMATIVA DE HORAS TÉCNICAS'!$F$944+'ESTIMATIVA DE HORAS TÉCNICAS'!L508*'ESTIMATIVA DE HORAS TÉCNICAS'!F$951+'ESTIMATIVA DE HORAS TÉCNICAS'!M508*'ESTIMATIVA DE HORAS TÉCNICAS'!F$950+'ESTIMATIVA DE HORAS TÉCNICAS'!N508*'ESTIMATIVA DE HORAS TÉCNICAS'!F$949+'ESTIMATIVA DE HORAS TÉCNICAS'!O508*'ESTIMATIVA DE HORAS TÉCNICAS'!F$948+'ESTIMATIVA DE HORAS TÉCNICAS'!P508*'ESTIMATIVA DE HORAS TÉCNICAS'!$F$947+'ESTIMATIVA DE HORAS TÉCNICAS'!Q508*'ESTIMATIVA DE HORAS TÉCNICAS'!F$953+'ESTIMATIVA DE HORAS TÉCNICAS'!R508*'ESTIMATIVA DE HORAS TÉCNICAS'!F$954</f>
        <v>4504.3904200855186</v>
      </c>
      <c r="E505" s="411">
        <f>'CALCULO DO FATO K'!D$10</f>
        <v>2.3175723620309046</v>
      </c>
      <c r="F505" s="714"/>
      <c r="G505" s="714"/>
      <c r="H505" s="411">
        <f t="shared" ref="H505:H511" si="27">D505*E505</f>
        <v>10439.250745386973</v>
      </c>
      <c r="I505" s="416"/>
      <c r="J505" s="767"/>
    </row>
    <row r="506" spans="1:10" ht="15.75">
      <c r="A506" s="426" t="s">
        <v>518</v>
      </c>
      <c r="B506" s="428" t="s">
        <v>135</v>
      </c>
      <c r="C506" s="409"/>
      <c r="D506" s="787">
        <f>'ESTIMATIVA DE HORAS TÉCNICAS'!F509*'ESTIMATIVA DE HORAS TÉCNICAS'!F$943+'ESTIMATIVA DE HORAS TÉCNICAS'!G509*'ESTIMATIVA DE HORAS TÉCNICAS'!F$942+'ESTIMATIVA DE HORAS TÉCNICAS'!H509*'ESTIMATIVA DE HORAS TÉCNICAS'!F$941+'ESTIMATIVA DE HORAS TÉCNICAS'!I509*'ESTIMATIVA DE HORAS TÉCNICAS'!F$945+'ESTIMATIVA DE HORAS TÉCNICAS'!J509*'ESTIMATIVA DE HORAS TÉCNICAS'!F$946+'ESTIMATIVA DE HORAS TÉCNICAS'!K509*'ESTIMATIVA DE HORAS TÉCNICAS'!$F$944+'ESTIMATIVA DE HORAS TÉCNICAS'!L509*'ESTIMATIVA DE HORAS TÉCNICAS'!F$951+'ESTIMATIVA DE HORAS TÉCNICAS'!M509*'ESTIMATIVA DE HORAS TÉCNICAS'!F$950+'ESTIMATIVA DE HORAS TÉCNICAS'!N509*'ESTIMATIVA DE HORAS TÉCNICAS'!F$949+'ESTIMATIVA DE HORAS TÉCNICAS'!O509*'ESTIMATIVA DE HORAS TÉCNICAS'!F$948+'ESTIMATIVA DE HORAS TÉCNICAS'!P509*'ESTIMATIVA DE HORAS TÉCNICAS'!$F$947+'ESTIMATIVA DE HORAS TÉCNICAS'!Q509*'ESTIMATIVA DE HORAS TÉCNICAS'!F$953+'ESTIMATIVA DE HORAS TÉCNICAS'!R509*'ESTIMATIVA DE HORAS TÉCNICAS'!F$954</f>
        <v>4504.3904200855186</v>
      </c>
      <c r="E506" s="411">
        <f>'CALCULO DO FATO K'!D$10</f>
        <v>2.3175723620309046</v>
      </c>
      <c r="F506" s="714"/>
      <c r="G506" s="714"/>
      <c r="H506" s="411">
        <f t="shared" si="27"/>
        <v>10439.250745386973</v>
      </c>
      <c r="I506" s="416"/>
      <c r="J506" s="767"/>
    </row>
    <row r="507" spans="1:10" ht="15.75">
      <c r="A507" s="426" t="s">
        <v>519</v>
      </c>
      <c r="B507" s="428" t="s">
        <v>105</v>
      </c>
      <c r="C507" s="409"/>
      <c r="D507" s="787">
        <f>'ESTIMATIVA DE HORAS TÉCNICAS'!F510*'ESTIMATIVA DE HORAS TÉCNICAS'!F$943+'ESTIMATIVA DE HORAS TÉCNICAS'!G510*'ESTIMATIVA DE HORAS TÉCNICAS'!F$942+'ESTIMATIVA DE HORAS TÉCNICAS'!H510*'ESTIMATIVA DE HORAS TÉCNICAS'!F$941+'ESTIMATIVA DE HORAS TÉCNICAS'!I510*'ESTIMATIVA DE HORAS TÉCNICAS'!F$945+'ESTIMATIVA DE HORAS TÉCNICAS'!J510*'ESTIMATIVA DE HORAS TÉCNICAS'!F$946+'ESTIMATIVA DE HORAS TÉCNICAS'!K510*'ESTIMATIVA DE HORAS TÉCNICAS'!$F$944+'ESTIMATIVA DE HORAS TÉCNICAS'!L510*'ESTIMATIVA DE HORAS TÉCNICAS'!F$951+'ESTIMATIVA DE HORAS TÉCNICAS'!M510*'ESTIMATIVA DE HORAS TÉCNICAS'!F$950+'ESTIMATIVA DE HORAS TÉCNICAS'!N510*'ESTIMATIVA DE HORAS TÉCNICAS'!F$949+'ESTIMATIVA DE HORAS TÉCNICAS'!O510*'ESTIMATIVA DE HORAS TÉCNICAS'!F$948+'ESTIMATIVA DE HORAS TÉCNICAS'!P510*'ESTIMATIVA DE HORAS TÉCNICAS'!$F$947+'ESTIMATIVA DE HORAS TÉCNICAS'!Q510*'ESTIMATIVA DE HORAS TÉCNICAS'!F$953+'ESTIMATIVA DE HORAS TÉCNICAS'!R510*'ESTIMATIVA DE HORAS TÉCNICAS'!F$954</f>
        <v>2252.1952100427593</v>
      </c>
      <c r="E507" s="411">
        <f>'CALCULO DO FATO K'!D$10</f>
        <v>2.3175723620309046</v>
      </c>
      <c r="F507" s="714"/>
      <c r="G507" s="714"/>
      <c r="H507" s="411">
        <f t="shared" si="27"/>
        <v>5219.6253726934865</v>
      </c>
      <c r="I507" s="416"/>
      <c r="J507" s="767"/>
    </row>
    <row r="508" spans="1:10" ht="15.75">
      <c r="A508" s="426" t="s">
        <v>520</v>
      </c>
      <c r="B508" s="428" t="s">
        <v>142</v>
      </c>
      <c r="C508" s="409"/>
      <c r="D508" s="787">
        <f>'ESTIMATIVA DE HORAS TÉCNICAS'!F511*'ESTIMATIVA DE HORAS TÉCNICAS'!F$943+'ESTIMATIVA DE HORAS TÉCNICAS'!G511*'ESTIMATIVA DE HORAS TÉCNICAS'!F$942+'ESTIMATIVA DE HORAS TÉCNICAS'!H511*'ESTIMATIVA DE HORAS TÉCNICAS'!F$941+'ESTIMATIVA DE HORAS TÉCNICAS'!I511*'ESTIMATIVA DE HORAS TÉCNICAS'!F$945+'ESTIMATIVA DE HORAS TÉCNICAS'!J511*'ESTIMATIVA DE HORAS TÉCNICAS'!F$946+'ESTIMATIVA DE HORAS TÉCNICAS'!K511*'ESTIMATIVA DE HORAS TÉCNICAS'!$F$944+'ESTIMATIVA DE HORAS TÉCNICAS'!L511*'ESTIMATIVA DE HORAS TÉCNICAS'!F$951+'ESTIMATIVA DE HORAS TÉCNICAS'!M511*'ESTIMATIVA DE HORAS TÉCNICAS'!F$950+'ESTIMATIVA DE HORAS TÉCNICAS'!N511*'ESTIMATIVA DE HORAS TÉCNICAS'!F$949+'ESTIMATIVA DE HORAS TÉCNICAS'!O511*'ESTIMATIVA DE HORAS TÉCNICAS'!F$948+'ESTIMATIVA DE HORAS TÉCNICAS'!P511*'ESTIMATIVA DE HORAS TÉCNICAS'!$F$947+'ESTIMATIVA DE HORAS TÉCNICAS'!Q511*'ESTIMATIVA DE HORAS TÉCNICAS'!F$953+'ESTIMATIVA DE HORAS TÉCNICAS'!R511*'ESTIMATIVA DE HORAS TÉCNICAS'!F$954</f>
        <v>4504.3904200855186</v>
      </c>
      <c r="E508" s="411">
        <f>'CALCULO DO FATO K'!D$10</f>
        <v>2.3175723620309046</v>
      </c>
      <c r="F508" s="714"/>
      <c r="G508" s="714"/>
      <c r="H508" s="411">
        <f t="shared" si="27"/>
        <v>10439.250745386973</v>
      </c>
      <c r="I508" s="416"/>
      <c r="J508" s="767"/>
    </row>
    <row r="509" spans="1:10" ht="15.75">
      <c r="A509" s="426" t="s">
        <v>521</v>
      </c>
      <c r="B509" s="428" t="s">
        <v>150</v>
      </c>
      <c r="C509" s="409"/>
      <c r="D509" s="787">
        <f>'ESTIMATIVA DE HORAS TÉCNICAS'!F512*'ESTIMATIVA DE HORAS TÉCNICAS'!F$943+'ESTIMATIVA DE HORAS TÉCNICAS'!G512*'ESTIMATIVA DE HORAS TÉCNICAS'!F$942+'ESTIMATIVA DE HORAS TÉCNICAS'!H512*'ESTIMATIVA DE HORAS TÉCNICAS'!F$941+'ESTIMATIVA DE HORAS TÉCNICAS'!I512*'ESTIMATIVA DE HORAS TÉCNICAS'!F$945+'ESTIMATIVA DE HORAS TÉCNICAS'!J512*'ESTIMATIVA DE HORAS TÉCNICAS'!F$946+'ESTIMATIVA DE HORAS TÉCNICAS'!K512*'ESTIMATIVA DE HORAS TÉCNICAS'!$F$944+'ESTIMATIVA DE HORAS TÉCNICAS'!L512*'ESTIMATIVA DE HORAS TÉCNICAS'!F$951+'ESTIMATIVA DE HORAS TÉCNICAS'!M512*'ESTIMATIVA DE HORAS TÉCNICAS'!F$950+'ESTIMATIVA DE HORAS TÉCNICAS'!N512*'ESTIMATIVA DE HORAS TÉCNICAS'!F$949+'ESTIMATIVA DE HORAS TÉCNICAS'!O512*'ESTIMATIVA DE HORAS TÉCNICAS'!F$948+'ESTIMATIVA DE HORAS TÉCNICAS'!P512*'ESTIMATIVA DE HORAS TÉCNICAS'!$F$947+'ESTIMATIVA DE HORAS TÉCNICAS'!Q512*'ESTIMATIVA DE HORAS TÉCNICAS'!F$953+'ESTIMATIVA DE HORAS TÉCNICAS'!R512*'ESTIMATIVA DE HORAS TÉCNICAS'!F$954</f>
        <v>2252.1952100427593</v>
      </c>
      <c r="E509" s="411">
        <f>'CALCULO DO FATO K'!D$10</f>
        <v>2.3175723620309046</v>
      </c>
      <c r="F509" s="714"/>
      <c r="G509" s="714"/>
      <c r="H509" s="411">
        <f t="shared" si="27"/>
        <v>5219.6253726934865</v>
      </c>
      <c r="I509" s="416"/>
      <c r="J509" s="767"/>
    </row>
    <row r="510" spans="1:10" ht="15.75">
      <c r="A510" s="426" t="s">
        <v>522</v>
      </c>
      <c r="B510" s="428" t="s">
        <v>213</v>
      </c>
      <c r="C510" s="410"/>
      <c r="D510" s="787">
        <f>'ESTIMATIVA DE HORAS TÉCNICAS'!F513*'ESTIMATIVA DE HORAS TÉCNICAS'!F$943+'ESTIMATIVA DE HORAS TÉCNICAS'!G513*'ESTIMATIVA DE HORAS TÉCNICAS'!F$942+'ESTIMATIVA DE HORAS TÉCNICAS'!H513*'ESTIMATIVA DE HORAS TÉCNICAS'!F$941+'ESTIMATIVA DE HORAS TÉCNICAS'!I513*'ESTIMATIVA DE HORAS TÉCNICAS'!F$945+'ESTIMATIVA DE HORAS TÉCNICAS'!J513*'ESTIMATIVA DE HORAS TÉCNICAS'!F$946+'ESTIMATIVA DE HORAS TÉCNICAS'!K513*'ESTIMATIVA DE HORAS TÉCNICAS'!$F$944+'ESTIMATIVA DE HORAS TÉCNICAS'!L513*'ESTIMATIVA DE HORAS TÉCNICAS'!F$951+'ESTIMATIVA DE HORAS TÉCNICAS'!M513*'ESTIMATIVA DE HORAS TÉCNICAS'!F$950+'ESTIMATIVA DE HORAS TÉCNICAS'!N513*'ESTIMATIVA DE HORAS TÉCNICAS'!F$949+'ESTIMATIVA DE HORAS TÉCNICAS'!O513*'ESTIMATIVA DE HORAS TÉCNICAS'!F$948+'ESTIMATIVA DE HORAS TÉCNICAS'!P513*'ESTIMATIVA DE HORAS TÉCNICAS'!$F$947+'ESTIMATIVA DE HORAS TÉCNICAS'!Q513*'ESTIMATIVA DE HORAS TÉCNICAS'!F$953+'ESTIMATIVA DE HORAS TÉCNICAS'!R513*'ESTIMATIVA DE HORAS TÉCNICAS'!F$954</f>
        <v>2252.1952100427593</v>
      </c>
      <c r="E510" s="411">
        <f>'CALCULO DO FATO K'!D$10</f>
        <v>2.3175723620309046</v>
      </c>
      <c r="F510" s="714"/>
      <c r="G510" s="714"/>
      <c r="H510" s="411">
        <f t="shared" si="27"/>
        <v>5219.6253726934865</v>
      </c>
      <c r="I510" s="416"/>
      <c r="J510" s="767"/>
    </row>
    <row r="511" spans="1:10" ht="15.75">
      <c r="A511" s="426" t="s">
        <v>523</v>
      </c>
      <c r="B511" s="428" t="s">
        <v>152</v>
      </c>
      <c r="C511" s="410"/>
      <c r="D511" s="787">
        <f>'ESTIMATIVA DE HORAS TÉCNICAS'!F514*'ESTIMATIVA DE HORAS TÉCNICAS'!F$943+'ESTIMATIVA DE HORAS TÉCNICAS'!G514*'ESTIMATIVA DE HORAS TÉCNICAS'!F$942+'ESTIMATIVA DE HORAS TÉCNICAS'!H514*'ESTIMATIVA DE HORAS TÉCNICAS'!F$941+'ESTIMATIVA DE HORAS TÉCNICAS'!I514*'ESTIMATIVA DE HORAS TÉCNICAS'!F$945+'ESTIMATIVA DE HORAS TÉCNICAS'!J514*'ESTIMATIVA DE HORAS TÉCNICAS'!F$946+'ESTIMATIVA DE HORAS TÉCNICAS'!K514*'ESTIMATIVA DE HORAS TÉCNICAS'!$F$944+'ESTIMATIVA DE HORAS TÉCNICAS'!L514*'ESTIMATIVA DE HORAS TÉCNICAS'!F$951+'ESTIMATIVA DE HORAS TÉCNICAS'!M514*'ESTIMATIVA DE HORAS TÉCNICAS'!F$950+'ESTIMATIVA DE HORAS TÉCNICAS'!N514*'ESTIMATIVA DE HORAS TÉCNICAS'!F$949+'ESTIMATIVA DE HORAS TÉCNICAS'!O514*'ESTIMATIVA DE HORAS TÉCNICAS'!F$948+'ESTIMATIVA DE HORAS TÉCNICAS'!P514*'ESTIMATIVA DE HORAS TÉCNICAS'!$F$947+'ESTIMATIVA DE HORAS TÉCNICAS'!Q514*'ESTIMATIVA DE HORAS TÉCNICAS'!F$953+'ESTIMATIVA DE HORAS TÉCNICAS'!R514*'ESTIMATIVA DE HORAS TÉCNICAS'!F$954</f>
        <v>2252.1952100427593</v>
      </c>
      <c r="E511" s="411">
        <f>'CALCULO DO FATO K'!D$10</f>
        <v>2.3175723620309046</v>
      </c>
      <c r="F511" s="714"/>
      <c r="G511" s="714"/>
      <c r="H511" s="411">
        <f t="shared" si="27"/>
        <v>5219.6253726934865</v>
      </c>
      <c r="I511" s="416">
        <f>SUM(H505:H511)</f>
        <v>52196.253726934876</v>
      </c>
      <c r="J511" s="767"/>
    </row>
    <row r="512" spans="1:10" s="532" customFormat="1" ht="15.75">
      <c r="A512" s="426"/>
      <c r="B512" s="428"/>
      <c r="C512" s="410"/>
      <c r="D512" s="787"/>
      <c r="E512" s="411"/>
      <c r="F512" s="714"/>
      <c r="G512" s="714"/>
      <c r="H512" s="411"/>
      <c r="I512" s="416"/>
      <c r="J512" s="767"/>
    </row>
    <row r="513" spans="1:10" ht="15.75">
      <c r="A513" s="426"/>
      <c r="B513" s="768"/>
      <c r="C513" s="409"/>
      <c r="D513" s="787"/>
      <c r="E513" s="714"/>
      <c r="F513" s="714"/>
      <c r="G513" s="714"/>
      <c r="H513" s="714"/>
      <c r="I513" s="416"/>
      <c r="J513" s="767"/>
    </row>
    <row r="514" spans="1:10" ht="15.75">
      <c r="A514" s="391" t="s">
        <v>524</v>
      </c>
      <c r="B514" s="427" t="s">
        <v>259</v>
      </c>
      <c r="C514" s="478"/>
      <c r="D514" s="480"/>
      <c r="E514" s="475"/>
      <c r="F514" s="475"/>
      <c r="G514" s="475"/>
      <c r="H514" s="475"/>
      <c r="I514" s="476"/>
      <c r="J514" s="767"/>
    </row>
    <row r="515" spans="1:10" ht="15.75">
      <c r="A515" s="426" t="s">
        <v>525</v>
      </c>
      <c r="B515" s="428" t="s">
        <v>326</v>
      </c>
      <c r="C515" s="410"/>
      <c r="D515" s="787">
        <f>'ESTIMATIVA DE HORAS TÉCNICAS'!F518*'ESTIMATIVA DE HORAS TÉCNICAS'!F$943+'ESTIMATIVA DE HORAS TÉCNICAS'!G518*'ESTIMATIVA DE HORAS TÉCNICAS'!F$942+'ESTIMATIVA DE HORAS TÉCNICAS'!H518*'ESTIMATIVA DE HORAS TÉCNICAS'!F$941+'ESTIMATIVA DE HORAS TÉCNICAS'!I518*'ESTIMATIVA DE HORAS TÉCNICAS'!F$945+'ESTIMATIVA DE HORAS TÉCNICAS'!J518*'ESTIMATIVA DE HORAS TÉCNICAS'!F$946+'ESTIMATIVA DE HORAS TÉCNICAS'!K518*'ESTIMATIVA DE HORAS TÉCNICAS'!$F$944+'ESTIMATIVA DE HORAS TÉCNICAS'!L518*'ESTIMATIVA DE HORAS TÉCNICAS'!F$951+'ESTIMATIVA DE HORAS TÉCNICAS'!M518*'ESTIMATIVA DE HORAS TÉCNICAS'!F$950+'ESTIMATIVA DE HORAS TÉCNICAS'!N518*'ESTIMATIVA DE HORAS TÉCNICAS'!F$949+'ESTIMATIVA DE HORAS TÉCNICAS'!O518*'ESTIMATIVA DE HORAS TÉCNICAS'!F$948+'ESTIMATIVA DE HORAS TÉCNICAS'!P518*'ESTIMATIVA DE HORAS TÉCNICAS'!$F$947+'ESTIMATIVA DE HORAS TÉCNICAS'!Q518*'ESTIMATIVA DE HORAS TÉCNICAS'!F$953+'ESTIMATIVA DE HORAS TÉCNICAS'!R518*'ESTIMATIVA DE HORAS TÉCNICAS'!F$954</f>
        <v>15065.171514619207</v>
      </c>
      <c r="E515" s="411">
        <f>'CALCULO DO FATO K'!D$10</f>
        <v>2.3175723620309046</v>
      </c>
      <c r="F515" s="714"/>
      <c r="G515" s="714"/>
      <c r="H515" s="411">
        <f t="shared" ref="H515:H521" si="28">D515*E515</f>
        <v>34914.625131536734</v>
      </c>
      <c r="I515" s="416"/>
      <c r="J515" s="767"/>
    </row>
    <row r="516" spans="1:10" ht="15.75">
      <c r="A516" s="426" t="s">
        <v>526</v>
      </c>
      <c r="B516" s="428" t="s">
        <v>135</v>
      </c>
      <c r="C516" s="410"/>
      <c r="D516" s="787">
        <f>'ESTIMATIVA DE HORAS TÉCNICAS'!F519*'ESTIMATIVA DE HORAS TÉCNICAS'!F$943+'ESTIMATIVA DE HORAS TÉCNICAS'!G519*'ESTIMATIVA DE HORAS TÉCNICAS'!F$942+'ESTIMATIVA DE HORAS TÉCNICAS'!H519*'ESTIMATIVA DE HORAS TÉCNICAS'!F$941+'ESTIMATIVA DE HORAS TÉCNICAS'!I519*'ESTIMATIVA DE HORAS TÉCNICAS'!F$945+'ESTIMATIVA DE HORAS TÉCNICAS'!J519*'ESTIMATIVA DE HORAS TÉCNICAS'!F$946+'ESTIMATIVA DE HORAS TÉCNICAS'!K519*'ESTIMATIVA DE HORAS TÉCNICAS'!$F$944+'ESTIMATIVA DE HORAS TÉCNICAS'!L519*'ESTIMATIVA DE HORAS TÉCNICAS'!F$951+'ESTIMATIVA DE HORAS TÉCNICAS'!M519*'ESTIMATIVA DE HORAS TÉCNICAS'!F$950+'ESTIMATIVA DE HORAS TÉCNICAS'!N519*'ESTIMATIVA DE HORAS TÉCNICAS'!F$949+'ESTIMATIVA DE HORAS TÉCNICAS'!O519*'ESTIMATIVA DE HORAS TÉCNICAS'!F$948+'ESTIMATIVA DE HORAS TÉCNICAS'!P519*'ESTIMATIVA DE HORAS TÉCNICAS'!$F$947+'ESTIMATIVA DE HORAS TÉCNICAS'!Q519*'ESTIMATIVA DE HORAS TÉCNICAS'!F$953+'ESTIMATIVA DE HORAS TÉCNICAS'!R519*'ESTIMATIVA DE HORAS TÉCNICAS'!F$954</f>
        <v>7532.5857573096037</v>
      </c>
      <c r="E516" s="411">
        <f>'CALCULO DO FATO K'!D$10</f>
        <v>2.3175723620309046</v>
      </c>
      <c r="F516" s="714"/>
      <c r="G516" s="714"/>
      <c r="H516" s="411">
        <f t="shared" si="28"/>
        <v>17457.312565768367</v>
      </c>
      <c r="I516" s="416"/>
      <c r="J516" s="767"/>
    </row>
    <row r="517" spans="1:10" ht="15.75">
      <c r="A517" s="426" t="s">
        <v>527</v>
      </c>
      <c r="B517" s="428" t="s">
        <v>105</v>
      </c>
      <c r="C517" s="410"/>
      <c r="D517" s="787">
        <f>'ESTIMATIVA DE HORAS TÉCNICAS'!F520*'ESTIMATIVA DE HORAS TÉCNICAS'!F$943+'ESTIMATIVA DE HORAS TÉCNICAS'!G520*'ESTIMATIVA DE HORAS TÉCNICAS'!F$942+'ESTIMATIVA DE HORAS TÉCNICAS'!H520*'ESTIMATIVA DE HORAS TÉCNICAS'!F$941+'ESTIMATIVA DE HORAS TÉCNICAS'!I520*'ESTIMATIVA DE HORAS TÉCNICAS'!F$945+'ESTIMATIVA DE HORAS TÉCNICAS'!J520*'ESTIMATIVA DE HORAS TÉCNICAS'!F$946+'ESTIMATIVA DE HORAS TÉCNICAS'!K520*'ESTIMATIVA DE HORAS TÉCNICAS'!$F$944+'ESTIMATIVA DE HORAS TÉCNICAS'!L520*'ESTIMATIVA DE HORAS TÉCNICAS'!F$951+'ESTIMATIVA DE HORAS TÉCNICAS'!M520*'ESTIMATIVA DE HORAS TÉCNICAS'!F$950+'ESTIMATIVA DE HORAS TÉCNICAS'!N520*'ESTIMATIVA DE HORAS TÉCNICAS'!F$949+'ESTIMATIVA DE HORAS TÉCNICAS'!O520*'ESTIMATIVA DE HORAS TÉCNICAS'!F$948+'ESTIMATIVA DE HORAS TÉCNICAS'!P520*'ESTIMATIVA DE HORAS TÉCNICAS'!$F$947+'ESTIMATIVA DE HORAS TÉCNICAS'!Q520*'ESTIMATIVA DE HORAS TÉCNICAS'!F$953+'ESTIMATIVA DE HORAS TÉCNICAS'!R520*'ESTIMATIVA DE HORAS TÉCNICAS'!F$954</f>
        <v>7532.5857573096037</v>
      </c>
      <c r="E517" s="411">
        <f>'CALCULO DO FATO K'!D$10</f>
        <v>2.3175723620309046</v>
      </c>
      <c r="F517" s="714"/>
      <c r="G517" s="714"/>
      <c r="H517" s="411">
        <f t="shared" si="28"/>
        <v>17457.312565768367</v>
      </c>
      <c r="I517" s="416"/>
      <c r="J517" s="767"/>
    </row>
    <row r="518" spans="1:10" ht="15.75">
      <c r="A518" s="426" t="s">
        <v>528</v>
      </c>
      <c r="B518" s="428" t="s">
        <v>142</v>
      </c>
      <c r="C518" s="410"/>
      <c r="D518" s="787">
        <f>'ESTIMATIVA DE HORAS TÉCNICAS'!F521*'ESTIMATIVA DE HORAS TÉCNICAS'!F$943+'ESTIMATIVA DE HORAS TÉCNICAS'!G521*'ESTIMATIVA DE HORAS TÉCNICAS'!F$942+'ESTIMATIVA DE HORAS TÉCNICAS'!H521*'ESTIMATIVA DE HORAS TÉCNICAS'!F$941+'ESTIMATIVA DE HORAS TÉCNICAS'!I521*'ESTIMATIVA DE HORAS TÉCNICAS'!F$945+'ESTIMATIVA DE HORAS TÉCNICAS'!J521*'ESTIMATIVA DE HORAS TÉCNICAS'!F$946+'ESTIMATIVA DE HORAS TÉCNICAS'!K521*'ESTIMATIVA DE HORAS TÉCNICAS'!$F$944+'ESTIMATIVA DE HORAS TÉCNICAS'!L521*'ESTIMATIVA DE HORAS TÉCNICAS'!F$951+'ESTIMATIVA DE HORAS TÉCNICAS'!M521*'ESTIMATIVA DE HORAS TÉCNICAS'!F$950+'ESTIMATIVA DE HORAS TÉCNICAS'!N521*'ESTIMATIVA DE HORAS TÉCNICAS'!F$949+'ESTIMATIVA DE HORAS TÉCNICAS'!O521*'ESTIMATIVA DE HORAS TÉCNICAS'!F$948+'ESTIMATIVA DE HORAS TÉCNICAS'!P521*'ESTIMATIVA DE HORAS TÉCNICAS'!$F$947+'ESTIMATIVA DE HORAS TÉCNICAS'!Q521*'ESTIMATIVA DE HORAS TÉCNICAS'!F$953+'ESTIMATIVA DE HORAS TÉCNICAS'!R521*'ESTIMATIVA DE HORAS TÉCNICAS'!F$954</f>
        <v>22597.757271928811</v>
      </c>
      <c r="E518" s="411">
        <f>'CALCULO DO FATO K'!D$10</f>
        <v>2.3175723620309046</v>
      </c>
      <c r="F518" s="714"/>
      <c r="G518" s="714"/>
      <c r="H518" s="411">
        <f t="shared" si="28"/>
        <v>52371.937697305104</v>
      </c>
      <c r="I518" s="416"/>
      <c r="J518" s="767"/>
    </row>
    <row r="519" spans="1:10" ht="15.75">
      <c r="A519" s="426" t="s">
        <v>529</v>
      </c>
      <c r="B519" s="428" t="s">
        <v>150</v>
      </c>
      <c r="C519" s="410"/>
      <c r="D519" s="787">
        <f>'ESTIMATIVA DE HORAS TÉCNICAS'!F522*'ESTIMATIVA DE HORAS TÉCNICAS'!F$943+'ESTIMATIVA DE HORAS TÉCNICAS'!G522*'ESTIMATIVA DE HORAS TÉCNICAS'!F$942+'ESTIMATIVA DE HORAS TÉCNICAS'!H522*'ESTIMATIVA DE HORAS TÉCNICAS'!F$941+'ESTIMATIVA DE HORAS TÉCNICAS'!I522*'ESTIMATIVA DE HORAS TÉCNICAS'!F$945+'ESTIMATIVA DE HORAS TÉCNICAS'!J522*'ESTIMATIVA DE HORAS TÉCNICAS'!F$946+'ESTIMATIVA DE HORAS TÉCNICAS'!K522*'ESTIMATIVA DE HORAS TÉCNICAS'!$F$944+'ESTIMATIVA DE HORAS TÉCNICAS'!L522*'ESTIMATIVA DE HORAS TÉCNICAS'!F$951+'ESTIMATIVA DE HORAS TÉCNICAS'!M522*'ESTIMATIVA DE HORAS TÉCNICAS'!F$950+'ESTIMATIVA DE HORAS TÉCNICAS'!N522*'ESTIMATIVA DE HORAS TÉCNICAS'!F$949+'ESTIMATIVA DE HORAS TÉCNICAS'!O522*'ESTIMATIVA DE HORAS TÉCNICAS'!F$948+'ESTIMATIVA DE HORAS TÉCNICAS'!P522*'ESTIMATIVA DE HORAS TÉCNICAS'!$F$947+'ESTIMATIVA DE HORAS TÉCNICAS'!Q522*'ESTIMATIVA DE HORAS TÉCNICAS'!F$953+'ESTIMATIVA DE HORAS TÉCNICAS'!R522*'ESTIMATIVA DE HORAS TÉCNICAS'!F$954</f>
        <v>7532.5857573096037</v>
      </c>
      <c r="E519" s="411">
        <f>'CALCULO DO FATO K'!D$10</f>
        <v>2.3175723620309046</v>
      </c>
      <c r="F519" s="714"/>
      <c r="G519" s="714"/>
      <c r="H519" s="411">
        <f t="shared" si="28"/>
        <v>17457.312565768367</v>
      </c>
      <c r="I519" s="416"/>
      <c r="J519" s="767"/>
    </row>
    <row r="520" spans="1:10" ht="15.75">
      <c r="A520" s="426" t="s">
        <v>530</v>
      </c>
      <c r="B520" s="428" t="s">
        <v>213</v>
      </c>
      <c r="C520" s="410"/>
      <c r="D520" s="787">
        <f>'ESTIMATIVA DE HORAS TÉCNICAS'!F523*'ESTIMATIVA DE HORAS TÉCNICAS'!F$943+'ESTIMATIVA DE HORAS TÉCNICAS'!G523*'ESTIMATIVA DE HORAS TÉCNICAS'!F$942+'ESTIMATIVA DE HORAS TÉCNICAS'!H523*'ESTIMATIVA DE HORAS TÉCNICAS'!F$941+'ESTIMATIVA DE HORAS TÉCNICAS'!I523*'ESTIMATIVA DE HORAS TÉCNICAS'!F$945+'ESTIMATIVA DE HORAS TÉCNICAS'!J523*'ESTIMATIVA DE HORAS TÉCNICAS'!F$946+'ESTIMATIVA DE HORAS TÉCNICAS'!K523*'ESTIMATIVA DE HORAS TÉCNICAS'!$F$944+'ESTIMATIVA DE HORAS TÉCNICAS'!L523*'ESTIMATIVA DE HORAS TÉCNICAS'!F$951+'ESTIMATIVA DE HORAS TÉCNICAS'!M523*'ESTIMATIVA DE HORAS TÉCNICAS'!F$950+'ESTIMATIVA DE HORAS TÉCNICAS'!N523*'ESTIMATIVA DE HORAS TÉCNICAS'!F$949+'ESTIMATIVA DE HORAS TÉCNICAS'!O523*'ESTIMATIVA DE HORAS TÉCNICAS'!F$948+'ESTIMATIVA DE HORAS TÉCNICAS'!P523*'ESTIMATIVA DE HORAS TÉCNICAS'!$F$947+'ESTIMATIVA DE HORAS TÉCNICAS'!Q523*'ESTIMATIVA DE HORAS TÉCNICAS'!F$953+'ESTIMATIVA DE HORAS TÉCNICAS'!R523*'ESTIMATIVA DE HORAS TÉCNICAS'!F$954</f>
        <v>7532.5857573096037</v>
      </c>
      <c r="E520" s="411">
        <f>'CALCULO DO FATO K'!D$10</f>
        <v>2.3175723620309046</v>
      </c>
      <c r="F520" s="714"/>
      <c r="G520" s="714"/>
      <c r="H520" s="411">
        <f t="shared" si="28"/>
        <v>17457.312565768367</v>
      </c>
      <c r="I520" s="416"/>
      <c r="J520" s="767"/>
    </row>
    <row r="521" spans="1:10" s="377" customFormat="1" ht="15.75">
      <c r="A521" s="426" t="s">
        <v>531</v>
      </c>
      <c r="B521" s="428" t="s">
        <v>152</v>
      </c>
      <c r="C521" s="410"/>
      <c r="D521" s="787">
        <f>'ESTIMATIVA DE HORAS TÉCNICAS'!F524*'ESTIMATIVA DE HORAS TÉCNICAS'!F$943+'ESTIMATIVA DE HORAS TÉCNICAS'!G524*'ESTIMATIVA DE HORAS TÉCNICAS'!F$942+'ESTIMATIVA DE HORAS TÉCNICAS'!H524*'ESTIMATIVA DE HORAS TÉCNICAS'!F$941+'ESTIMATIVA DE HORAS TÉCNICAS'!I524*'ESTIMATIVA DE HORAS TÉCNICAS'!F$945+'ESTIMATIVA DE HORAS TÉCNICAS'!J524*'ESTIMATIVA DE HORAS TÉCNICAS'!F$946+'ESTIMATIVA DE HORAS TÉCNICAS'!K524*'ESTIMATIVA DE HORAS TÉCNICAS'!$F$944+'ESTIMATIVA DE HORAS TÉCNICAS'!L524*'ESTIMATIVA DE HORAS TÉCNICAS'!F$951+'ESTIMATIVA DE HORAS TÉCNICAS'!M524*'ESTIMATIVA DE HORAS TÉCNICAS'!F$950+'ESTIMATIVA DE HORAS TÉCNICAS'!N524*'ESTIMATIVA DE HORAS TÉCNICAS'!F$949+'ESTIMATIVA DE HORAS TÉCNICAS'!O524*'ESTIMATIVA DE HORAS TÉCNICAS'!F$948+'ESTIMATIVA DE HORAS TÉCNICAS'!P524*'ESTIMATIVA DE HORAS TÉCNICAS'!$F$947+'ESTIMATIVA DE HORAS TÉCNICAS'!Q524*'ESTIMATIVA DE HORAS TÉCNICAS'!F$953+'ESTIMATIVA DE HORAS TÉCNICAS'!R524*'ESTIMATIVA DE HORAS TÉCNICAS'!F$954</f>
        <v>7532.5857573096037</v>
      </c>
      <c r="E521" s="411">
        <f>'CALCULO DO FATO K'!D$10</f>
        <v>2.3175723620309046</v>
      </c>
      <c r="F521" s="714"/>
      <c r="G521" s="714"/>
      <c r="H521" s="411">
        <f t="shared" si="28"/>
        <v>17457.312565768367</v>
      </c>
      <c r="I521" s="416">
        <f>SUM(H515:H521)</f>
        <v>174573.12565768367</v>
      </c>
      <c r="J521" s="767"/>
    </row>
    <row r="522" spans="1:10" s="532" customFormat="1" ht="15.75">
      <c r="A522" s="426"/>
      <c r="B522" s="428"/>
      <c r="C522" s="410"/>
      <c r="D522" s="787"/>
      <c r="E522" s="411"/>
      <c r="F522" s="714"/>
      <c r="G522" s="714"/>
      <c r="H522" s="411"/>
      <c r="I522" s="416"/>
      <c r="J522" s="767"/>
    </row>
    <row r="523" spans="1:10" s="284" customFormat="1" ht="15.75">
      <c r="A523" s="426"/>
      <c r="B523" s="768"/>
      <c r="C523" s="410"/>
      <c r="D523" s="787"/>
      <c r="E523" s="411"/>
      <c r="F523" s="714"/>
      <c r="G523" s="714"/>
      <c r="H523" s="411"/>
      <c r="I523" s="416"/>
      <c r="J523" s="767"/>
    </row>
    <row r="524" spans="1:10" ht="15.75">
      <c r="A524" s="391" t="s">
        <v>532</v>
      </c>
      <c r="B524" s="412" t="s">
        <v>266</v>
      </c>
      <c r="C524" s="474"/>
      <c r="D524" s="480"/>
      <c r="E524" s="475"/>
      <c r="F524" s="475"/>
      <c r="G524" s="475"/>
      <c r="H524" s="475"/>
      <c r="I524" s="476"/>
      <c r="J524" s="767"/>
    </row>
    <row r="525" spans="1:10" ht="15.75">
      <c r="A525" s="426" t="s">
        <v>533</v>
      </c>
      <c r="B525" s="428" t="s">
        <v>326</v>
      </c>
      <c r="C525" s="409"/>
      <c r="D525" s="787">
        <f>'ESTIMATIVA DE HORAS TÉCNICAS'!F528*'ESTIMATIVA DE HORAS TÉCNICAS'!F$943+'ESTIMATIVA DE HORAS TÉCNICAS'!G528*'ESTIMATIVA DE HORAS TÉCNICAS'!F$942+'ESTIMATIVA DE HORAS TÉCNICAS'!H528*'ESTIMATIVA DE HORAS TÉCNICAS'!F$941+'ESTIMATIVA DE HORAS TÉCNICAS'!I528*'ESTIMATIVA DE HORAS TÉCNICAS'!F$945+'ESTIMATIVA DE HORAS TÉCNICAS'!J528*'ESTIMATIVA DE HORAS TÉCNICAS'!F$946+'ESTIMATIVA DE HORAS TÉCNICAS'!K528*'ESTIMATIVA DE HORAS TÉCNICAS'!$F$944+'ESTIMATIVA DE HORAS TÉCNICAS'!L528*'ESTIMATIVA DE HORAS TÉCNICAS'!F$951+'ESTIMATIVA DE HORAS TÉCNICAS'!M528*'ESTIMATIVA DE HORAS TÉCNICAS'!F$950+'ESTIMATIVA DE HORAS TÉCNICAS'!N528*'ESTIMATIVA DE HORAS TÉCNICAS'!F$949+'ESTIMATIVA DE HORAS TÉCNICAS'!O528*'ESTIMATIVA DE HORAS TÉCNICAS'!F$948+'ESTIMATIVA DE HORAS TÉCNICAS'!P528*'ESTIMATIVA DE HORAS TÉCNICAS'!$F$947+'ESTIMATIVA DE HORAS TÉCNICAS'!Q528*'ESTIMATIVA DE HORAS TÉCNICAS'!F$953+'ESTIMATIVA DE HORAS TÉCNICAS'!R528*'ESTIMATIVA DE HORAS TÉCNICAS'!F$954</f>
        <v>3557.6828933317929</v>
      </c>
      <c r="E525" s="411">
        <f>'CALCULO DO FATO K'!D$10</f>
        <v>2.3175723620309046</v>
      </c>
      <c r="F525" s="714"/>
      <c r="G525" s="714"/>
      <c r="H525" s="411">
        <f t="shared" ref="H525:H531" si="29">D525*E525</f>
        <v>8245.1875464559052</v>
      </c>
      <c r="I525" s="416"/>
      <c r="J525" s="767"/>
    </row>
    <row r="526" spans="1:10" ht="15.75">
      <c r="A526" s="426" t="s">
        <v>534</v>
      </c>
      <c r="B526" s="428" t="s">
        <v>101</v>
      </c>
      <c r="C526" s="409"/>
      <c r="D526" s="787">
        <f>'ESTIMATIVA DE HORAS TÉCNICAS'!F529*'ESTIMATIVA DE HORAS TÉCNICAS'!F$943+'ESTIMATIVA DE HORAS TÉCNICAS'!G529*'ESTIMATIVA DE HORAS TÉCNICAS'!F$942+'ESTIMATIVA DE HORAS TÉCNICAS'!H529*'ESTIMATIVA DE HORAS TÉCNICAS'!F$941+'ESTIMATIVA DE HORAS TÉCNICAS'!I529*'ESTIMATIVA DE HORAS TÉCNICAS'!F$945+'ESTIMATIVA DE HORAS TÉCNICAS'!J529*'ESTIMATIVA DE HORAS TÉCNICAS'!F$946+'ESTIMATIVA DE HORAS TÉCNICAS'!K529*'ESTIMATIVA DE HORAS TÉCNICAS'!$F$944+'ESTIMATIVA DE HORAS TÉCNICAS'!L529*'ESTIMATIVA DE HORAS TÉCNICAS'!F$951+'ESTIMATIVA DE HORAS TÉCNICAS'!M529*'ESTIMATIVA DE HORAS TÉCNICAS'!F$950+'ESTIMATIVA DE HORAS TÉCNICAS'!N529*'ESTIMATIVA DE HORAS TÉCNICAS'!F$949+'ESTIMATIVA DE HORAS TÉCNICAS'!O529*'ESTIMATIVA DE HORAS TÉCNICAS'!F$948+'ESTIMATIVA DE HORAS TÉCNICAS'!P529*'ESTIMATIVA DE HORAS TÉCNICAS'!$F$947+'ESTIMATIVA DE HORAS TÉCNICAS'!Q529*'ESTIMATIVA DE HORAS TÉCNICAS'!F$953+'ESTIMATIVA DE HORAS TÉCNICAS'!R529*'ESTIMATIVA DE HORAS TÉCNICAS'!F$954</f>
        <v>1778.8414466658965</v>
      </c>
      <c r="E526" s="411">
        <f>'CALCULO DO FATO K'!D$10</f>
        <v>2.3175723620309046</v>
      </c>
      <c r="F526" s="714"/>
      <c r="G526" s="714"/>
      <c r="H526" s="411">
        <f t="shared" si="29"/>
        <v>4122.5937732279526</v>
      </c>
      <c r="I526" s="416"/>
      <c r="J526" s="767"/>
    </row>
    <row r="527" spans="1:10" ht="15.75">
      <c r="A527" s="426" t="s">
        <v>535</v>
      </c>
      <c r="B527" s="428" t="s">
        <v>135</v>
      </c>
      <c r="C527" s="409"/>
      <c r="D527" s="787">
        <f>'ESTIMATIVA DE HORAS TÉCNICAS'!F530*'ESTIMATIVA DE HORAS TÉCNICAS'!F$943+'ESTIMATIVA DE HORAS TÉCNICAS'!G530*'ESTIMATIVA DE HORAS TÉCNICAS'!F$942+'ESTIMATIVA DE HORAS TÉCNICAS'!H530*'ESTIMATIVA DE HORAS TÉCNICAS'!F$941+'ESTIMATIVA DE HORAS TÉCNICAS'!I530*'ESTIMATIVA DE HORAS TÉCNICAS'!F$945+'ESTIMATIVA DE HORAS TÉCNICAS'!J530*'ESTIMATIVA DE HORAS TÉCNICAS'!F$946+'ESTIMATIVA DE HORAS TÉCNICAS'!K530*'ESTIMATIVA DE HORAS TÉCNICAS'!$F$944+'ESTIMATIVA DE HORAS TÉCNICAS'!L530*'ESTIMATIVA DE HORAS TÉCNICAS'!F$951+'ESTIMATIVA DE HORAS TÉCNICAS'!M530*'ESTIMATIVA DE HORAS TÉCNICAS'!F$950+'ESTIMATIVA DE HORAS TÉCNICAS'!N530*'ESTIMATIVA DE HORAS TÉCNICAS'!F$949+'ESTIMATIVA DE HORAS TÉCNICAS'!O530*'ESTIMATIVA DE HORAS TÉCNICAS'!F$948+'ESTIMATIVA DE HORAS TÉCNICAS'!P530*'ESTIMATIVA DE HORAS TÉCNICAS'!$F$947+'ESTIMATIVA DE HORAS TÉCNICAS'!Q530*'ESTIMATIVA DE HORAS TÉCNICAS'!F$953+'ESTIMATIVA DE HORAS TÉCNICAS'!R530*'ESTIMATIVA DE HORAS TÉCNICAS'!F$954</f>
        <v>2668.2621699988445</v>
      </c>
      <c r="E527" s="411">
        <f>'CALCULO DO FATO K'!D$10</f>
        <v>2.3175723620309046</v>
      </c>
      <c r="F527" s="714"/>
      <c r="G527" s="714"/>
      <c r="H527" s="411">
        <f t="shared" si="29"/>
        <v>6183.8906598419289</v>
      </c>
      <c r="I527" s="416"/>
      <c r="J527" s="767"/>
    </row>
    <row r="528" spans="1:10" ht="15.75">
      <c r="A528" s="426" t="s">
        <v>536</v>
      </c>
      <c r="B528" s="428" t="s">
        <v>105</v>
      </c>
      <c r="C528" s="409"/>
      <c r="D528" s="787">
        <f>'ESTIMATIVA DE HORAS TÉCNICAS'!F531*'ESTIMATIVA DE HORAS TÉCNICAS'!F$943+'ESTIMATIVA DE HORAS TÉCNICAS'!G531*'ESTIMATIVA DE HORAS TÉCNICAS'!F$942+'ESTIMATIVA DE HORAS TÉCNICAS'!H531*'ESTIMATIVA DE HORAS TÉCNICAS'!F$941+'ESTIMATIVA DE HORAS TÉCNICAS'!I531*'ESTIMATIVA DE HORAS TÉCNICAS'!F$945+'ESTIMATIVA DE HORAS TÉCNICAS'!J531*'ESTIMATIVA DE HORAS TÉCNICAS'!F$946+'ESTIMATIVA DE HORAS TÉCNICAS'!K531*'ESTIMATIVA DE HORAS TÉCNICAS'!$F$944+'ESTIMATIVA DE HORAS TÉCNICAS'!L531*'ESTIMATIVA DE HORAS TÉCNICAS'!F$951+'ESTIMATIVA DE HORAS TÉCNICAS'!M531*'ESTIMATIVA DE HORAS TÉCNICAS'!F$950+'ESTIMATIVA DE HORAS TÉCNICAS'!N531*'ESTIMATIVA DE HORAS TÉCNICAS'!F$949+'ESTIMATIVA DE HORAS TÉCNICAS'!O531*'ESTIMATIVA DE HORAS TÉCNICAS'!F$948+'ESTIMATIVA DE HORAS TÉCNICAS'!P531*'ESTIMATIVA DE HORAS TÉCNICAS'!$F$947+'ESTIMATIVA DE HORAS TÉCNICAS'!Q531*'ESTIMATIVA DE HORAS TÉCNICAS'!F$953+'ESTIMATIVA DE HORAS TÉCNICAS'!R531*'ESTIMATIVA DE HORAS TÉCNICAS'!F$954</f>
        <v>1778.8414466658965</v>
      </c>
      <c r="E528" s="411">
        <f>'CALCULO DO FATO K'!D$10</f>
        <v>2.3175723620309046</v>
      </c>
      <c r="F528" s="714"/>
      <c r="G528" s="714"/>
      <c r="H528" s="411">
        <f t="shared" si="29"/>
        <v>4122.5937732279526</v>
      </c>
      <c r="I528" s="416"/>
      <c r="J528" s="767"/>
    </row>
    <row r="529" spans="1:10" ht="15.75">
      <c r="A529" s="426" t="s">
        <v>537</v>
      </c>
      <c r="B529" s="428" t="s">
        <v>142</v>
      </c>
      <c r="C529" s="409"/>
      <c r="D529" s="787">
        <f>'ESTIMATIVA DE HORAS TÉCNICAS'!F532*'ESTIMATIVA DE HORAS TÉCNICAS'!F$943+'ESTIMATIVA DE HORAS TÉCNICAS'!G532*'ESTIMATIVA DE HORAS TÉCNICAS'!F$942+'ESTIMATIVA DE HORAS TÉCNICAS'!H532*'ESTIMATIVA DE HORAS TÉCNICAS'!F$941+'ESTIMATIVA DE HORAS TÉCNICAS'!I532*'ESTIMATIVA DE HORAS TÉCNICAS'!F$945+'ESTIMATIVA DE HORAS TÉCNICAS'!J532*'ESTIMATIVA DE HORAS TÉCNICAS'!F$946+'ESTIMATIVA DE HORAS TÉCNICAS'!K532*'ESTIMATIVA DE HORAS TÉCNICAS'!$F$944+'ESTIMATIVA DE HORAS TÉCNICAS'!L532*'ESTIMATIVA DE HORAS TÉCNICAS'!F$951+'ESTIMATIVA DE HORAS TÉCNICAS'!M532*'ESTIMATIVA DE HORAS TÉCNICAS'!F$950+'ESTIMATIVA DE HORAS TÉCNICAS'!N532*'ESTIMATIVA DE HORAS TÉCNICAS'!F$949+'ESTIMATIVA DE HORAS TÉCNICAS'!O532*'ESTIMATIVA DE HORAS TÉCNICAS'!F$948+'ESTIMATIVA DE HORAS TÉCNICAS'!P532*'ESTIMATIVA DE HORAS TÉCNICAS'!$F$947+'ESTIMATIVA DE HORAS TÉCNICAS'!Q532*'ESTIMATIVA DE HORAS TÉCNICAS'!F$953+'ESTIMATIVA DE HORAS TÉCNICAS'!R532*'ESTIMATIVA DE HORAS TÉCNICAS'!F$954</f>
        <v>3557.6828933317929</v>
      </c>
      <c r="E529" s="411">
        <f>'CALCULO DO FATO K'!D$10</f>
        <v>2.3175723620309046</v>
      </c>
      <c r="F529" s="714"/>
      <c r="G529" s="714"/>
      <c r="H529" s="411">
        <f t="shared" si="29"/>
        <v>8245.1875464559052</v>
      </c>
      <c r="I529" s="416"/>
      <c r="J529" s="767"/>
    </row>
    <row r="530" spans="1:10" ht="15.75">
      <c r="A530" s="426" t="s">
        <v>538</v>
      </c>
      <c r="B530" s="428" t="s">
        <v>150</v>
      </c>
      <c r="C530" s="410"/>
      <c r="D530" s="787">
        <f>'ESTIMATIVA DE HORAS TÉCNICAS'!F533*'ESTIMATIVA DE HORAS TÉCNICAS'!F$943+'ESTIMATIVA DE HORAS TÉCNICAS'!G533*'ESTIMATIVA DE HORAS TÉCNICAS'!F$942+'ESTIMATIVA DE HORAS TÉCNICAS'!H533*'ESTIMATIVA DE HORAS TÉCNICAS'!F$941+'ESTIMATIVA DE HORAS TÉCNICAS'!I533*'ESTIMATIVA DE HORAS TÉCNICAS'!F$945+'ESTIMATIVA DE HORAS TÉCNICAS'!J533*'ESTIMATIVA DE HORAS TÉCNICAS'!F$946+'ESTIMATIVA DE HORAS TÉCNICAS'!K533*'ESTIMATIVA DE HORAS TÉCNICAS'!$F$944+'ESTIMATIVA DE HORAS TÉCNICAS'!L533*'ESTIMATIVA DE HORAS TÉCNICAS'!F$951+'ESTIMATIVA DE HORAS TÉCNICAS'!M533*'ESTIMATIVA DE HORAS TÉCNICAS'!F$950+'ESTIMATIVA DE HORAS TÉCNICAS'!N533*'ESTIMATIVA DE HORAS TÉCNICAS'!F$949+'ESTIMATIVA DE HORAS TÉCNICAS'!O533*'ESTIMATIVA DE HORAS TÉCNICAS'!F$948+'ESTIMATIVA DE HORAS TÉCNICAS'!P533*'ESTIMATIVA DE HORAS TÉCNICAS'!$F$947+'ESTIMATIVA DE HORAS TÉCNICAS'!Q533*'ESTIMATIVA DE HORAS TÉCNICAS'!F$953+'ESTIMATIVA DE HORAS TÉCNICAS'!R533*'ESTIMATIVA DE HORAS TÉCNICAS'!F$954</f>
        <v>1778.8414466658965</v>
      </c>
      <c r="E530" s="411">
        <f>'CALCULO DO FATO K'!D$10</f>
        <v>2.3175723620309046</v>
      </c>
      <c r="F530" s="714"/>
      <c r="G530" s="714"/>
      <c r="H530" s="411">
        <f t="shared" si="29"/>
        <v>4122.5937732279526</v>
      </c>
      <c r="I530" s="416"/>
      <c r="J530" s="767"/>
    </row>
    <row r="531" spans="1:10" ht="15.75">
      <c r="A531" s="426" t="s">
        <v>539</v>
      </c>
      <c r="B531" s="428" t="s">
        <v>213</v>
      </c>
      <c r="C531" s="410"/>
      <c r="D531" s="787">
        <f>'ESTIMATIVA DE HORAS TÉCNICAS'!F534*'ESTIMATIVA DE HORAS TÉCNICAS'!F$943+'ESTIMATIVA DE HORAS TÉCNICAS'!G534*'ESTIMATIVA DE HORAS TÉCNICAS'!F$942+'ESTIMATIVA DE HORAS TÉCNICAS'!H534*'ESTIMATIVA DE HORAS TÉCNICAS'!F$941+'ESTIMATIVA DE HORAS TÉCNICAS'!I534*'ESTIMATIVA DE HORAS TÉCNICAS'!F$945+'ESTIMATIVA DE HORAS TÉCNICAS'!J534*'ESTIMATIVA DE HORAS TÉCNICAS'!F$946+'ESTIMATIVA DE HORAS TÉCNICAS'!K534*'ESTIMATIVA DE HORAS TÉCNICAS'!$F$944+'ESTIMATIVA DE HORAS TÉCNICAS'!L534*'ESTIMATIVA DE HORAS TÉCNICAS'!F$951+'ESTIMATIVA DE HORAS TÉCNICAS'!M534*'ESTIMATIVA DE HORAS TÉCNICAS'!F$950+'ESTIMATIVA DE HORAS TÉCNICAS'!N534*'ESTIMATIVA DE HORAS TÉCNICAS'!F$949+'ESTIMATIVA DE HORAS TÉCNICAS'!O534*'ESTIMATIVA DE HORAS TÉCNICAS'!F$948+'ESTIMATIVA DE HORAS TÉCNICAS'!P534*'ESTIMATIVA DE HORAS TÉCNICAS'!$F$947+'ESTIMATIVA DE HORAS TÉCNICAS'!Q534*'ESTIMATIVA DE HORAS TÉCNICAS'!F$953+'ESTIMATIVA DE HORAS TÉCNICAS'!R534*'ESTIMATIVA DE HORAS TÉCNICAS'!F$954</f>
        <v>2668.2621699988445</v>
      </c>
      <c r="E531" s="411">
        <f>'CALCULO DO FATO K'!D$10</f>
        <v>2.3175723620309046</v>
      </c>
      <c r="F531" s="714"/>
      <c r="G531" s="714"/>
      <c r="H531" s="411">
        <f t="shared" si="29"/>
        <v>6183.8906598419289</v>
      </c>
      <c r="I531" s="416">
        <f>SUM(H525:H531)</f>
        <v>41225.937732279526</v>
      </c>
      <c r="J531" s="767"/>
    </row>
    <row r="532" spans="1:10" s="532" customFormat="1" ht="15.75">
      <c r="A532" s="426"/>
      <c r="B532" s="428"/>
      <c r="C532" s="410"/>
      <c r="D532" s="787"/>
      <c r="E532" s="411"/>
      <c r="F532" s="714"/>
      <c r="G532" s="714"/>
      <c r="H532" s="411"/>
      <c r="I532" s="416"/>
      <c r="J532" s="767"/>
    </row>
    <row r="533" spans="1:10" s="384" customFormat="1" ht="15.75">
      <c r="A533" s="426"/>
      <c r="B533" s="428"/>
      <c r="C533" s="410"/>
      <c r="D533" s="787"/>
      <c r="E533" s="411"/>
      <c r="F533" s="714"/>
      <c r="G533" s="714"/>
      <c r="H533" s="411"/>
      <c r="I533" s="416"/>
      <c r="J533" s="767"/>
    </row>
    <row r="534" spans="1:10" s="382" customFormat="1" ht="15.75">
      <c r="A534" s="391" t="s">
        <v>540</v>
      </c>
      <c r="B534" s="412" t="s">
        <v>272</v>
      </c>
      <c r="C534" s="474"/>
      <c r="D534" s="480"/>
      <c r="E534" s="480"/>
      <c r="F534" s="475"/>
      <c r="G534" s="475"/>
      <c r="H534" s="480"/>
      <c r="I534" s="476"/>
      <c r="J534" s="767"/>
    </row>
    <row r="535" spans="1:10" s="382" customFormat="1" ht="15.75">
      <c r="A535" s="433" t="s">
        <v>541</v>
      </c>
      <c r="B535" s="428" t="s">
        <v>326</v>
      </c>
      <c r="C535" s="409"/>
      <c r="D535" s="787">
        <f>'ESTIMATIVA DE HORAS TÉCNICAS'!F538*'ESTIMATIVA DE HORAS TÉCNICAS'!F$943+'ESTIMATIVA DE HORAS TÉCNICAS'!G538*'ESTIMATIVA DE HORAS TÉCNICAS'!F$942+'ESTIMATIVA DE HORAS TÉCNICAS'!H538*'ESTIMATIVA DE HORAS TÉCNICAS'!F$941+'ESTIMATIVA DE HORAS TÉCNICAS'!I538*'ESTIMATIVA DE HORAS TÉCNICAS'!F$945+'ESTIMATIVA DE HORAS TÉCNICAS'!J538*'ESTIMATIVA DE HORAS TÉCNICAS'!F$946+'ESTIMATIVA DE HORAS TÉCNICAS'!K538*'ESTIMATIVA DE HORAS TÉCNICAS'!$F$944+'ESTIMATIVA DE HORAS TÉCNICAS'!L538*'ESTIMATIVA DE HORAS TÉCNICAS'!F$951+'ESTIMATIVA DE HORAS TÉCNICAS'!M538*'ESTIMATIVA DE HORAS TÉCNICAS'!F$950+'ESTIMATIVA DE HORAS TÉCNICAS'!N538*'ESTIMATIVA DE HORAS TÉCNICAS'!F$949+'ESTIMATIVA DE HORAS TÉCNICAS'!O538*'ESTIMATIVA DE HORAS TÉCNICAS'!F$948+'ESTIMATIVA DE HORAS TÉCNICAS'!P538*'ESTIMATIVA DE HORAS TÉCNICAS'!$F$947+'ESTIMATIVA DE HORAS TÉCNICAS'!Q538*'ESTIMATIVA DE HORAS TÉCNICAS'!F$953+'ESTIMATIVA DE HORAS TÉCNICAS'!R538*'ESTIMATIVA DE HORAS TÉCNICAS'!F$954</f>
        <v>2881.6501549751533</v>
      </c>
      <c r="E535" s="411">
        <f>'CALCULO DO FATO K'!D$10</f>
        <v>2.3175723620309046</v>
      </c>
      <c r="F535" s="714"/>
      <c r="G535" s="714"/>
      <c r="H535" s="411">
        <f t="shared" ref="H535:H540" si="30">D535*E535</f>
        <v>6678.4327562124881</v>
      </c>
      <c r="I535" s="416"/>
      <c r="J535" s="767"/>
    </row>
    <row r="536" spans="1:10" s="382" customFormat="1" ht="15.75">
      <c r="A536" s="433" t="s">
        <v>542</v>
      </c>
      <c r="B536" s="428" t="s">
        <v>135</v>
      </c>
      <c r="C536" s="409"/>
      <c r="D536" s="787">
        <f>'ESTIMATIVA DE HORAS TÉCNICAS'!F539*'ESTIMATIVA DE HORAS TÉCNICAS'!F$943+'ESTIMATIVA DE HORAS TÉCNICAS'!G539*'ESTIMATIVA DE HORAS TÉCNICAS'!F$942+'ESTIMATIVA DE HORAS TÉCNICAS'!H539*'ESTIMATIVA DE HORAS TÉCNICAS'!F$941+'ESTIMATIVA DE HORAS TÉCNICAS'!I539*'ESTIMATIVA DE HORAS TÉCNICAS'!F$945+'ESTIMATIVA DE HORAS TÉCNICAS'!J539*'ESTIMATIVA DE HORAS TÉCNICAS'!F$946+'ESTIMATIVA DE HORAS TÉCNICAS'!K539*'ESTIMATIVA DE HORAS TÉCNICAS'!$F$944+'ESTIMATIVA DE HORAS TÉCNICAS'!L539*'ESTIMATIVA DE HORAS TÉCNICAS'!F$951+'ESTIMATIVA DE HORAS TÉCNICAS'!M539*'ESTIMATIVA DE HORAS TÉCNICAS'!F$950+'ESTIMATIVA DE HORAS TÉCNICAS'!N539*'ESTIMATIVA DE HORAS TÉCNICAS'!F$949+'ESTIMATIVA DE HORAS TÉCNICAS'!O539*'ESTIMATIVA DE HORAS TÉCNICAS'!F$948+'ESTIMATIVA DE HORAS TÉCNICAS'!P539*'ESTIMATIVA DE HORAS TÉCNICAS'!$F$947+'ESTIMATIVA DE HORAS TÉCNICAS'!Q539*'ESTIMATIVA DE HORAS TÉCNICAS'!F$953+'ESTIMATIVA DE HORAS TÉCNICAS'!R539*'ESTIMATIVA DE HORAS TÉCNICAS'!F$954</f>
        <v>1921.100103316769</v>
      </c>
      <c r="E536" s="411">
        <f>'CALCULO DO FATO K'!D$10</f>
        <v>2.3175723620309046</v>
      </c>
      <c r="F536" s="714"/>
      <c r="G536" s="714"/>
      <c r="H536" s="411">
        <f t="shared" si="30"/>
        <v>4452.2885041416594</v>
      </c>
      <c r="I536" s="416"/>
      <c r="J536" s="767"/>
    </row>
    <row r="537" spans="1:10" s="382" customFormat="1" ht="15.75">
      <c r="A537" s="433" t="s">
        <v>543</v>
      </c>
      <c r="B537" s="428" t="s">
        <v>105</v>
      </c>
      <c r="C537" s="409"/>
      <c r="D537" s="787">
        <f>'ESTIMATIVA DE HORAS TÉCNICAS'!F540*'ESTIMATIVA DE HORAS TÉCNICAS'!F$943+'ESTIMATIVA DE HORAS TÉCNICAS'!G540*'ESTIMATIVA DE HORAS TÉCNICAS'!F$942+'ESTIMATIVA DE HORAS TÉCNICAS'!H540*'ESTIMATIVA DE HORAS TÉCNICAS'!F$941+'ESTIMATIVA DE HORAS TÉCNICAS'!I540*'ESTIMATIVA DE HORAS TÉCNICAS'!F$945+'ESTIMATIVA DE HORAS TÉCNICAS'!J540*'ESTIMATIVA DE HORAS TÉCNICAS'!F$946+'ESTIMATIVA DE HORAS TÉCNICAS'!K540*'ESTIMATIVA DE HORAS TÉCNICAS'!$F$944+'ESTIMATIVA DE HORAS TÉCNICAS'!L540*'ESTIMATIVA DE HORAS TÉCNICAS'!F$951+'ESTIMATIVA DE HORAS TÉCNICAS'!M540*'ESTIMATIVA DE HORAS TÉCNICAS'!F$950+'ESTIMATIVA DE HORAS TÉCNICAS'!N540*'ESTIMATIVA DE HORAS TÉCNICAS'!F$949+'ESTIMATIVA DE HORAS TÉCNICAS'!O540*'ESTIMATIVA DE HORAS TÉCNICAS'!F$948+'ESTIMATIVA DE HORAS TÉCNICAS'!P540*'ESTIMATIVA DE HORAS TÉCNICAS'!$F$947+'ESTIMATIVA DE HORAS TÉCNICAS'!Q540*'ESTIMATIVA DE HORAS TÉCNICAS'!F$953+'ESTIMATIVA DE HORAS TÉCNICAS'!R540*'ESTIMATIVA DE HORAS TÉCNICAS'!F$954</f>
        <v>960.55005165838452</v>
      </c>
      <c r="E537" s="411">
        <f>'CALCULO DO FATO K'!D$10</f>
        <v>2.3175723620309046</v>
      </c>
      <c r="F537" s="714"/>
      <c r="G537" s="714"/>
      <c r="H537" s="411">
        <f t="shared" si="30"/>
        <v>2226.1442520708297</v>
      </c>
      <c r="I537" s="416"/>
      <c r="J537" s="767"/>
    </row>
    <row r="538" spans="1:10" s="382" customFormat="1" ht="15.75">
      <c r="A538" s="433" t="s">
        <v>544</v>
      </c>
      <c r="B538" s="428" t="s">
        <v>142</v>
      </c>
      <c r="C538" s="409"/>
      <c r="D538" s="787">
        <f>'ESTIMATIVA DE HORAS TÉCNICAS'!F541*'ESTIMATIVA DE HORAS TÉCNICAS'!F$943+'ESTIMATIVA DE HORAS TÉCNICAS'!G541*'ESTIMATIVA DE HORAS TÉCNICAS'!F$942+'ESTIMATIVA DE HORAS TÉCNICAS'!H541*'ESTIMATIVA DE HORAS TÉCNICAS'!F$941+'ESTIMATIVA DE HORAS TÉCNICAS'!I541*'ESTIMATIVA DE HORAS TÉCNICAS'!F$945+'ESTIMATIVA DE HORAS TÉCNICAS'!J541*'ESTIMATIVA DE HORAS TÉCNICAS'!F$946+'ESTIMATIVA DE HORAS TÉCNICAS'!K541*'ESTIMATIVA DE HORAS TÉCNICAS'!$F$944+'ESTIMATIVA DE HORAS TÉCNICAS'!L541*'ESTIMATIVA DE HORAS TÉCNICAS'!F$951+'ESTIMATIVA DE HORAS TÉCNICAS'!M541*'ESTIMATIVA DE HORAS TÉCNICAS'!F$950+'ESTIMATIVA DE HORAS TÉCNICAS'!N541*'ESTIMATIVA DE HORAS TÉCNICAS'!F$949+'ESTIMATIVA DE HORAS TÉCNICAS'!O541*'ESTIMATIVA DE HORAS TÉCNICAS'!F$948+'ESTIMATIVA DE HORAS TÉCNICAS'!P541*'ESTIMATIVA DE HORAS TÉCNICAS'!$F$947+'ESTIMATIVA DE HORAS TÉCNICAS'!Q541*'ESTIMATIVA DE HORAS TÉCNICAS'!F$953+'ESTIMATIVA DE HORAS TÉCNICAS'!R541*'ESTIMATIVA DE HORAS TÉCNICAS'!F$954</f>
        <v>1921.100103316769</v>
      </c>
      <c r="E538" s="411">
        <f>'CALCULO DO FATO K'!D$10</f>
        <v>2.3175723620309046</v>
      </c>
      <c r="F538" s="714"/>
      <c r="G538" s="714"/>
      <c r="H538" s="411">
        <f t="shared" si="30"/>
        <v>4452.2885041416594</v>
      </c>
      <c r="I538" s="416"/>
      <c r="J538" s="767"/>
    </row>
    <row r="539" spans="1:10" s="382" customFormat="1" ht="15.75">
      <c r="A539" s="433" t="s">
        <v>545</v>
      </c>
      <c r="B539" s="428" t="s">
        <v>150</v>
      </c>
      <c r="C539" s="409"/>
      <c r="D539" s="787">
        <f>'ESTIMATIVA DE HORAS TÉCNICAS'!F542*'ESTIMATIVA DE HORAS TÉCNICAS'!F$943+'ESTIMATIVA DE HORAS TÉCNICAS'!G542*'ESTIMATIVA DE HORAS TÉCNICAS'!F$942+'ESTIMATIVA DE HORAS TÉCNICAS'!H542*'ESTIMATIVA DE HORAS TÉCNICAS'!F$941+'ESTIMATIVA DE HORAS TÉCNICAS'!I542*'ESTIMATIVA DE HORAS TÉCNICAS'!F$945+'ESTIMATIVA DE HORAS TÉCNICAS'!J542*'ESTIMATIVA DE HORAS TÉCNICAS'!F$946+'ESTIMATIVA DE HORAS TÉCNICAS'!K542*'ESTIMATIVA DE HORAS TÉCNICAS'!$F$944+'ESTIMATIVA DE HORAS TÉCNICAS'!L542*'ESTIMATIVA DE HORAS TÉCNICAS'!F$951+'ESTIMATIVA DE HORAS TÉCNICAS'!M542*'ESTIMATIVA DE HORAS TÉCNICAS'!F$950+'ESTIMATIVA DE HORAS TÉCNICAS'!N542*'ESTIMATIVA DE HORAS TÉCNICAS'!F$949+'ESTIMATIVA DE HORAS TÉCNICAS'!O542*'ESTIMATIVA DE HORAS TÉCNICAS'!F$948+'ESTIMATIVA DE HORAS TÉCNICAS'!P542*'ESTIMATIVA DE HORAS TÉCNICAS'!$F$947+'ESTIMATIVA DE HORAS TÉCNICAS'!Q542*'ESTIMATIVA DE HORAS TÉCNICAS'!F$953+'ESTIMATIVA DE HORAS TÉCNICAS'!R542*'ESTIMATIVA DE HORAS TÉCNICAS'!F$954</f>
        <v>960.55005165838452</v>
      </c>
      <c r="E539" s="411">
        <f>'CALCULO DO FATO K'!D$10</f>
        <v>2.3175723620309046</v>
      </c>
      <c r="F539" s="714"/>
      <c r="G539" s="714"/>
      <c r="H539" s="411">
        <f t="shared" si="30"/>
        <v>2226.1442520708297</v>
      </c>
      <c r="I539" s="416"/>
      <c r="J539" s="767"/>
    </row>
    <row r="540" spans="1:10" s="382" customFormat="1" ht="15.75">
      <c r="A540" s="433" t="s">
        <v>546</v>
      </c>
      <c r="B540" s="428" t="s">
        <v>213</v>
      </c>
      <c r="C540" s="409"/>
      <c r="D540" s="787">
        <f>'ESTIMATIVA DE HORAS TÉCNICAS'!F543*'ESTIMATIVA DE HORAS TÉCNICAS'!F$943+'ESTIMATIVA DE HORAS TÉCNICAS'!G543*'ESTIMATIVA DE HORAS TÉCNICAS'!F$942+'ESTIMATIVA DE HORAS TÉCNICAS'!H543*'ESTIMATIVA DE HORAS TÉCNICAS'!F$941+'ESTIMATIVA DE HORAS TÉCNICAS'!I543*'ESTIMATIVA DE HORAS TÉCNICAS'!F$945+'ESTIMATIVA DE HORAS TÉCNICAS'!J543*'ESTIMATIVA DE HORAS TÉCNICAS'!F$946+'ESTIMATIVA DE HORAS TÉCNICAS'!K543*'ESTIMATIVA DE HORAS TÉCNICAS'!$F$944+'ESTIMATIVA DE HORAS TÉCNICAS'!L543*'ESTIMATIVA DE HORAS TÉCNICAS'!F$951+'ESTIMATIVA DE HORAS TÉCNICAS'!M543*'ESTIMATIVA DE HORAS TÉCNICAS'!F$950+'ESTIMATIVA DE HORAS TÉCNICAS'!N543*'ESTIMATIVA DE HORAS TÉCNICAS'!F$949+'ESTIMATIVA DE HORAS TÉCNICAS'!O543*'ESTIMATIVA DE HORAS TÉCNICAS'!F$948+'ESTIMATIVA DE HORAS TÉCNICAS'!P543*'ESTIMATIVA DE HORAS TÉCNICAS'!$F$947+'ESTIMATIVA DE HORAS TÉCNICAS'!Q543*'ESTIMATIVA DE HORAS TÉCNICAS'!F$953+'ESTIMATIVA DE HORAS TÉCNICAS'!R543*'ESTIMATIVA DE HORAS TÉCNICAS'!F$954</f>
        <v>960.55005165838452</v>
      </c>
      <c r="E540" s="411">
        <f>'CALCULO DO FATO K'!D$10</f>
        <v>2.3175723620309046</v>
      </c>
      <c r="F540" s="714"/>
      <c r="G540" s="714"/>
      <c r="H540" s="411">
        <f t="shared" si="30"/>
        <v>2226.1442520708297</v>
      </c>
      <c r="I540" s="416">
        <f>SUM(H535:H540)</f>
        <v>22261.442520708297</v>
      </c>
      <c r="J540" s="767"/>
    </row>
    <row r="541" spans="1:10" s="532" customFormat="1" ht="15.75">
      <c r="A541" s="433"/>
      <c r="B541" s="428"/>
      <c r="C541" s="409"/>
      <c r="D541" s="787"/>
      <c r="E541" s="411"/>
      <c r="F541" s="714"/>
      <c r="G541" s="714"/>
      <c r="H541" s="411"/>
      <c r="I541" s="416"/>
      <c r="J541" s="767"/>
    </row>
    <row r="542" spans="1:10" s="382" customFormat="1" ht="15.75">
      <c r="A542" s="426"/>
      <c r="B542" s="768"/>
      <c r="C542" s="409"/>
      <c r="D542" s="787"/>
      <c r="E542" s="411"/>
      <c r="F542" s="714"/>
      <c r="G542" s="714"/>
      <c r="H542" s="411"/>
      <c r="I542" s="416"/>
      <c r="J542" s="767"/>
    </row>
    <row r="543" spans="1:10" ht="15.75">
      <c r="A543" s="391" t="s">
        <v>547</v>
      </c>
      <c r="B543" s="427" t="s">
        <v>277</v>
      </c>
      <c r="C543" s="474"/>
      <c r="D543" s="480"/>
      <c r="E543" s="475"/>
      <c r="F543" s="475"/>
      <c r="G543" s="475"/>
      <c r="H543" s="475"/>
      <c r="I543" s="476"/>
      <c r="J543" s="767"/>
    </row>
    <row r="544" spans="1:10" ht="15.75">
      <c r="A544" s="426" t="s">
        <v>548</v>
      </c>
      <c r="B544" s="428" t="s">
        <v>326</v>
      </c>
      <c r="C544" s="409"/>
      <c r="D544" s="787">
        <f>'ESTIMATIVA DE HORAS TÉCNICAS'!F547*'ESTIMATIVA DE HORAS TÉCNICAS'!F$943+'ESTIMATIVA DE HORAS TÉCNICAS'!G547*'ESTIMATIVA DE HORAS TÉCNICAS'!F$942+'ESTIMATIVA DE HORAS TÉCNICAS'!H547*'ESTIMATIVA DE HORAS TÉCNICAS'!F$941+'ESTIMATIVA DE HORAS TÉCNICAS'!I547*'ESTIMATIVA DE HORAS TÉCNICAS'!F$945+'ESTIMATIVA DE HORAS TÉCNICAS'!J547*'ESTIMATIVA DE HORAS TÉCNICAS'!F$946+'ESTIMATIVA DE HORAS TÉCNICAS'!K547*'ESTIMATIVA DE HORAS TÉCNICAS'!$F$944+'ESTIMATIVA DE HORAS TÉCNICAS'!L547*'ESTIMATIVA DE HORAS TÉCNICAS'!F$951+'ESTIMATIVA DE HORAS TÉCNICAS'!M547*'ESTIMATIVA DE HORAS TÉCNICAS'!F$950+'ESTIMATIVA DE HORAS TÉCNICAS'!N547*'ESTIMATIVA DE HORAS TÉCNICAS'!F$949+'ESTIMATIVA DE HORAS TÉCNICAS'!O547*'ESTIMATIVA DE HORAS TÉCNICAS'!F$948+'ESTIMATIVA DE HORAS TÉCNICAS'!P547*'ESTIMATIVA DE HORAS TÉCNICAS'!$F$947+'ESTIMATIVA DE HORAS TÉCNICAS'!Q547*'ESTIMATIVA DE HORAS TÉCNICAS'!F$953+'ESTIMATIVA DE HORAS TÉCNICAS'!R547*'ESTIMATIVA DE HORAS TÉCNICAS'!F$954</f>
        <v>3690.8871337686346</v>
      </c>
      <c r="E544" s="411">
        <f>'CALCULO DO FATO K'!D$10</f>
        <v>2.3175723620309046</v>
      </c>
      <c r="F544" s="714"/>
      <c r="G544" s="714"/>
      <c r="H544" s="411">
        <f t="shared" ref="H544:H549" si="31">D544*E544</f>
        <v>8553.8980125976504</v>
      </c>
      <c r="I544" s="416"/>
      <c r="J544" s="767"/>
    </row>
    <row r="545" spans="1:10" ht="15.75">
      <c r="A545" s="426" t="s">
        <v>549</v>
      </c>
      <c r="B545" s="428" t="s">
        <v>135</v>
      </c>
      <c r="C545" s="409"/>
      <c r="D545" s="787">
        <f>'ESTIMATIVA DE HORAS TÉCNICAS'!F548*'ESTIMATIVA DE HORAS TÉCNICAS'!F$943+'ESTIMATIVA DE HORAS TÉCNICAS'!G548*'ESTIMATIVA DE HORAS TÉCNICAS'!F$942+'ESTIMATIVA DE HORAS TÉCNICAS'!H548*'ESTIMATIVA DE HORAS TÉCNICAS'!F$941+'ESTIMATIVA DE HORAS TÉCNICAS'!I548*'ESTIMATIVA DE HORAS TÉCNICAS'!F$945+'ESTIMATIVA DE HORAS TÉCNICAS'!J548*'ESTIMATIVA DE HORAS TÉCNICAS'!F$946+'ESTIMATIVA DE HORAS TÉCNICAS'!K548*'ESTIMATIVA DE HORAS TÉCNICAS'!$F$944+'ESTIMATIVA DE HORAS TÉCNICAS'!L548*'ESTIMATIVA DE HORAS TÉCNICAS'!F$951+'ESTIMATIVA DE HORAS TÉCNICAS'!M548*'ESTIMATIVA DE HORAS TÉCNICAS'!F$950+'ESTIMATIVA DE HORAS TÉCNICAS'!N548*'ESTIMATIVA DE HORAS TÉCNICAS'!F$949+'ESTIMATIVA DE HORAS TÉCNICAS'!O548*'ESTIMATIVA DE HORAS TÉCNICAS'!F$948+'ESTIMATIVA DE HORAS TÉCNICAS'!P548*'ESTIMATIVA DE HORAS TÉCNICAS'!$F$947+'ESTIMATIVA DE HORAS TÉCNICAS'!Q548*'ESTIMATIVA DE HORAS TÉCNICAS'!F$953+'ESTIMATIVA DE HORAS TÉCNICAS'!R548*'ESTIMATIVA DE HORAS TÉCNICAS'!F$954</f>
        <v>2460.5914225124238</v>
      </c>
      <c r="E545" s="411">
        <f>'CALCULO DO FATO K'!D$10</f>
        <v>2.3175723620309046</v>
      </c>
      <c r="F545" s="714"/>
      <c r="G545" s="714"/>
      <c r="H545" s="411">
        <f t="shared" si="31"/>
        <v>5702.5986750651018</v>
      </c>
      <c r="I545" s="416"/>
      <c r="J545" s="767"/>
    </row>
    <row r="546" spans="1:10" ht="15.75">
      <c r="A546" s="426" t="s">
        <v>550</v>
      </c>
      <c r="B546" s="428" t="s">
        <v>105</v>
      </c>
      <c r="C546" s="409"/>
      <c r="D546" s="787">
        <f>'ESTIMATIVA DE HORAS TÉCNICAS'!F549*'ESTIMATIVA DE HORAS TÉCNICAS'!F$943+'ESTIMATIVA DE HORAS TÉCNICAS'!G549*'ESTIMATIVA DE HORAS TÉCNICAS'!F$942+'ESTIMATIVA DE HORAS TÉCNICAS'!H549*'ESTIMATIVA DE HORAS TÉCNICAS'!F$941+'ESTIMATIVA DE HORAS TÉCNICAS'!I549*'ESTIMATIVA DE HORAS TÉCNICAS'!F$945+'ESTIMATIVA DE HORAS TÉCNICAS'!J549*'ESTIMATIVA DE HORAS TÉCNICAS'!F$946+'ESTIMATIVA DE HORAS TÉCNICAS'!K549*'ESTIMATIVA DE HORAS TÉCNICAS'!$F$944+'ESTIMATIVA DE HORAS TÉCNICAS'!L549*'ESTIMATIVA DE HORAS TÉCNICAS'!F$951+'ESTIMATIVA DE HORAS TÉCNICAS'!M549*'ESTIMATIVA DE HORAS TÉCNICAS'!F$950+'ESTIMATIVA DE HORAS TÉCNICAS'!N549*'ESTIMATIVA DE HORAS TÉCNICAS'!F$949+'ESTIMATIVA DE HORAS TÉCNICAS'!O549*'ESTIMATIVA DE HORAS TÉCNICAS'!F$948+'ESTIMATIVA DE HORAS TÉCNICAS'!P549*'ESTIMATIVA DE HORAS TÉCNICAS'!$F$947+'ESTIMATIVA DE HORAS TÉCNICAS'!Q549*'ESTIMATIVA DE HORAS TÉCNICAS'!F$953+'ESTIMATIVA DE HORAS TÉCNICAS'!R549*'ESTIMATIVA DE HORAS TÉCNICAS'!F$954</f>
        <v>1230.2957112562119</v>
      </c>
      <c r="E546" s="411">
        <f>'CALCULO DO FATO K'!D$10</f>
        <v>2.3175723620309046</v>
      </c>
      <c r="F546" s="714"/>
      <c r="G546" s="714"/>
      <c r="H546" s="411">
        <f t="shared" si="31"/>
        <v>2851.2993375325509</v>
      </c>
      <c r="I546" s="416"/>
      <c r="J546" s="767"/>
    </row>
    <row r="547" spans="1:10" ht="15.75">
      <c r="A547" s="426" t="s">
        <v>551</v>
      </c>
      <c r="B547" s="428" t="s">
        <v>142</v>
      </c>
      <c r="C547" s="409"/>
      <c r="D547" s="787">
        <f>'ESTIMATIVA DE HORAS TÉCNICAS'!F550*'ESTIMATIVA DE HORAS TÉCNICAS'!F$943+'ESTIMATIVA DE HORAS TÉCNICAS'!G550*'ESTIMATIVA DE HORAS TÉCNICAS'!F$942+'ESTIMATIVA DE HORAS TÉCNICAS'!H550*'ESTIMATIVA DE HORAS TÉCNICAS'!F$941+'ESTIMATIVA DE HORAS TÉCNICAS'!I550*'ESTIMATIVA DE HORAS TÉCNICAS'!F$945+'ESTIMATIVA DE HORAS TÉCNICAS'!J550*'ESTIMATIVA DE HORAS TÉCNICAS'!F$946+'ESTIMATIVA DE HORAS TÉCNICAS'!K550*'ESTIMATIVA DE HORAS TÉCNICAS'!$F$944+'ESTIMATIVA DE HORAS TÉCNICAS'!L550*'ESTIMATIVA DE HORAS TÉCNICAS'!F$951+'ESTIMATIVA DE HORAS TÉCNICAS'!M550*'ESTIMATIVA DE HORAS TÉCNICAS'!F$950+'ESTIMATIVA DE HORAS TÉCNICAS'!N550*'ESTIMATIVA DE HORAS TÉCNICAS'!F$949+'ESTIMATIVA DE HORAS TÉCNICAS'!O550*'ESTIMATIVA DE HORAS TÉCNICAS'!F$948+'ESTIMATIVA DE HORAS TÉCNICAS'!P550*'ESTIMATIVA DE HORAS TÉCNICAS'!$F$947+'ESTIMATIVA DE HORAS TÉCNICAS'!Q550*'ESTIMATIVA DE HORAS TÉCNICAS'!F$953+'ESTIMATIVA DE HORAS TÉCNICAS'!R550*'ESTIMATIVA DE HORAS TÉCNICAS'!F$954</f>
        <v>2460.5914225124238</v>
      </c>
      <c r="E547" s="411">
        <f>'CALCULO DO FATO K'!D$10</f>
        <v>2.3175723620309046</v>
      </c>
      <c r="F547" s="714"/>
      <c r="G547" s="714"/>
      <c r="H547" s="411">
        <f t="shared" si="31"/>
        <v>5702.5986750651018</v>
      </c>
      <c r="I547" s="416"/>
      <c r="J547" s="767"/>
    </row>
    <row r="548" spans="1:10" ht="15.75">
      <c r="A548" s="426" t="s">
        <v>552</v>
      </c>
      <c r="B548" s="428" t="s">
        <v>150</v>
      </c>
      <c r="C548" s="409"/>
      <c r="D548" s="787">
        <f>'ESTIMATIVA DE HORAS TÉCNICAS'!F551*'ESTIMATIVA DE HORAS TÉCNICAS'!F$943+'ESTIMATIVA DE HORAS TÉCNICAS'!G551*'ESTIMATIVA DE HORAS TÉCNICAS'!F$942+'ESTIMATIVA DE HORAS TÉCNICAS'!H551*'ESTIMATIVA DE HORAS TÉCNICAS'!F$941+'ESTIMATIVA DE HORAS TÉCNICAS'!I551*'ESTIMATIVA DE HORAS TÉCNICAS'!F$945+'ESTIMATIVA DE HORAS TÉCNICAS'!J551*'ESTIMATIVA DE HORAS TÉCNICAS'!F$946+'ESTIMATIVA DE HORAS TÉCNICAS'!K551*'ESTIMATIVA DE HORAS TÉCNICAS'!$F$944+'ESTIMATIVA DE HORAS TÉCNICAS'!L551*'ESTIMATIVA DE HORAS TÉCNICAS'!F$951+'ESTIMATIVA DE HORAS TÉCNICAS'!M551*'ESTIMATIVA DE HORAS TÉCNICAS'!F$950+'ESTIMATIVA DE HORAS TÉCNICAS'!N551*'ESTIMATIVA DE HORAS TÉCNICAS'!F$949+'ESTIMATIVA DE HORAS TÉCNICAS'!O551*'ESTIMATIVA DE HORAS TÉCNICAS'!F$948+'ESTIMATIVA DE HORAS TÉCNICAS'!P551*'ESTIMATIVA DE HORAS TÉCNICAS'!$F$947+'ESTIMATIVA DE HORAS TÉCNICAS'!Q551*'ESTIMATIVA DE HORAS TÉCNICAS'!F$953+'ESTIMATIVA DE HORAS TÉCNICAS'!R551*'ESTIMATIVA DE HORAS TÉCNICAS'!F$954</f>
        <v>1230.2957112562119</v>
      </c>
      <c r="E548" s="411">
        <f>'CALCULO DO FATO K'!D$10</f>
        <v>2.3175723620309046</v>
      </c>
      <c r="F548" s="714"/>
      <c r="G548" s="714"/>
      <c r="H548" s="411">
        <f t="shared" si="31"/>
        <v>2851.2993375325509</v>
      </c>
      <c r="I548" s="416"/>
      <c r="J548" s="767"/>
    </row>
    <row r="549" spans="1:10" ht="15.75">
      <c r="A549" s="426" t="s">
        <v>553</v>
      </c>
      <c r="B549" s="428" t="s">
        <v>213</v>
      </c>
      <c r="C549" s="410"/>
      <c r="D549" s="787">
        <f>'ESTIMATIVA DE HORAS TÉCNICAS'!F552*'ESTIMATIVA DE HORAS TÉCNICAS'!F$943+'ESTIMATIVA DE HORAS TÉCNICAS'!G552*'ESTIMATIVA DE HORAS TÉCNICAS'!F$942+'ESTIMATIVA DE HORAS TÉCNICAS'!H552*'ESTIMATIVA DE HORAS TÉCNICAS'!F$941+'ESTIMATIVA DE HORAS TÉCNICAS'!I552*'ESTIMATIVA DE HORAS TÉCNICAS'!F$945+'ESTIMATIVA DE HORAS TÉCNICAS'!J552*'ESTIMATIVA DE HORAS TÉCNICAS'!F$946+'ESTIMATIVA DE HORAS TÉCNICAS'!K552*'ESTIMATIVA DE HORAS TÉCNICAS'!$F$944+'ESTIMATIVA DE HORAS TÉCNICAS'!L552*'ESTIMATIVA DE HORAS TÉCNICAS'!F$951+'ESTIMATIVA DE HORAS TÉCNICAS'!M552*'ESTIMATIVA DE HORAS TÉCNICAS'!F$950+'ESTIMATIVA DE HORAS TÉCNICAS'!N552*'ESTIMATIVA DE HORAS TÉCNICAS'!F$949+'ESTIMATIVA DE HORAS TÉCNICAS'!O552*'ESTIMATIVA DE HORAS TÉCNICAS'!F$948+'ESTIMATIVA DE HORAS TÉCNICAS'!P552*'ESTIMATIVA DE HORAS TÉCNICAS'!$F$947+'ESTIMATIVA DE HORAS TÉCNICAS'!Q552*'ESTIMATIVA DE HORAS TÉCNICAS'!F$953+'ESTIMATIVA DE HORAS TÉCNICAS'!R552*'ESTIMATIVA DE HORAS TÉCNICAS'!F$954</f>
        <v>1230.2957112562119</v>
      </c>
      <c r="E549" s="411">
        <f>'CALCULO DO FATO K'!D$10</f>
        <v>2.3175723620309046</v>
      </c>
      <c r="F549" s="714"/>
      <c r="G549" s="714"/>
      <c r="H549" s="411">
        <f t="shared" si="31"/>
        <v>2851.2993375325509</v>
      </c>
      <c r="I549" s="416">
        <f>SUM(H544:H549)</f>
        <v>28512.993375325503</v>
      </c>
      <c r="J549" s="767"/>
    </row>
    <row r="550" spans="1:10" s="532" customFormat="1" ht="15.75">
      <c r="A550" s="426"/>
      <c r="B550" s="428"/>
      <c r="C550" s="410"/>
      <c r="D550" s="787"/>
      <c r="E550" s="411"/>
      <c r="F550" s="714"/>
      <c r="G550" s="714"/>
      <c r="H550" s="411"/>
      <c r="I550" s="416"/>
      <c r="J550" s="767"/>
    </row>
    <row r="551" spans="1:10" s="284" customFormat="1" ht="15.75">
      <c r="A551" s="426"/>
      <c r="B551" s="768"/>
      <c r="C551" s="409"/>
      <c r="D551" s="787"/>
      <c r="E551" s="411"/>
      <c r="F551" s="714"/>
      <c r="G551" s="714"/>
      <c r="H551" s="411"/>
      <c r="I551" s="416"/>
      <c r="J551" s="767"/>
    </row>
    <row r="552" spans="1:10" ht="15.75">
      <c r="A552" s="391" t="s">
        <v>554</v>
      </c>
      <c r="B552" s="427" t="s">
        <v>283</v>
      </c>
      <c r="C552" s="481"/>
      <c r="D552" s="480"/>
      <c r="E552" s="475"/>
      <c r="F552" s="475"/>
      <c r="G552" s="475"/>
      <c r="H552" s="475"/>
      <c r="I552" s="476"/>
      <c r="J552" s="767"/>
    </row>
    <row r="553" spans="1:10" ht="15.75">
      <c r="A553" s="426" t="s">
        <v>555</v>
      </c>
      <c r="B553" s="428" t="s">
        <v>326</v>
      </c>
      <c r="C553" s="224"/>
      <c r="D553" s="787">
        <f>'ESTIMATIVA DE HORAS TÉCNICAS'!F556*'ESTIMATIVA DE HORAS TÉCNICAS'!F$943+'ESTIMATIVA DE HORAS TÉCNICAS'!G556*'ESTIMATIVA DE HORAS TÉCNICAS'!F$942+'ESTIMATIVA DE HORAS TÉCNICAS'!H556*'ESTIMATIVA DE HORAS TÉCNICAS'!F$941+'ESTIMATIVA DE HORAS TÉCNICAS'!I556*'ESTIMATIVA DE HORAS TÉCNICAS'!F$945+'ESTIMATIVA DE HORAS TÉCNICAS'!J556*'ESTIMATIVA DE HORAS TÉCNICAS'!F$946+'ESTIMATIVA DE HORAS TÉCNICAS'!K556*'ESTIMATIVA DE HORAS TÉCNICAS'!$F$944+'ESTIMATIVA DE HORAS TÉCNICAS'!L556*'ESTIMATIVA DE HORAS TÉCNICAS'!F$951+'ESTIMATIVA DE HORAS TÉCNICAS'!M556*'ESTIMATIVA DE HORAS TÉCNICAS'!F$950+'ESTIMATIVA DE HORAS TÉCNICAS'!N556*'ESTIMATIVA DE HORAS TÉCNICAS'!F$949+'ESTIMATIVA DE HORAS TÉCNICAS'!O556*'ESTIMATIVA DE HORAS TÉCNICAS'!F$948+'ESTIMATIVA DE HORAS TÉCNICAS'!P556*'ESTIMATIVA DE HORAS TÉCNICAS'!$F$947+'ESTIMATIVA DE HORAS TÉCNICAS'!Q556*'ESTIMATIVA DE HORAS TÉCNICAS'!F$953+'ESTIMATIVA DE HORAS TÉCNICAS'!R556*'ESTIMATIVA DE HORAS TÉCNICAS'!F$954</f>
        <v>1779.6696296082282</v>
      </c>
      <c r="E553" s="411">
        <f>'CALCULO DO FATO K'!D$10</f>
        <v>2.3175723620309046</v>
      </c>
      <c r="F553" s="714"/>
      <c r="G553" s="714"/>
      <c r="H553" s="411">
        <f>D553*E553</f>
        <v>4124.5131471258064</v>
      </c>
      <c r="I553" s="416"/>
      <c r="J553" s="767"/>
    </row>
    <row r="554" spans="1:10" ht="15.75">
      <c r="A554" s="426" t="s">
        <v>556</v>
      </c>
      <c r="B554" s="428" t="s">
        <v>135</v>
      </c>
      <c r="C554" s="224"/>
      <c r="D554" s="787">
        <f>'ESTIMATIVA DE HORAS TÉCNICAS'!F557*'ESTIMATIVA DE HORAS TÉCNICAS'!F$943+'ESTIMATIVA DE HORAS TÉCNICAS'!G557*'ESTIMATIVA DE HORAS TÉCNICAS'!F$942+'ESTIMATIVA DE HORAS TÉCNICAS'!H557*'ESTIMATIVA DE HORAS TÉCNICAS'!F$941+'ESTIMATIVA DE HORAS TÉCNICAS'!I557*'ESTIMATIVA DE HORAS TÉCNICAS'!F$945+'ESTIMATIVA DE HORAS TÉCNICAS'!J557*'ESTIMATIVA DE HORAS TÉCNICAS'!F$946+'ESTIMATIVA DE HORAS TÉCNICAS'!K557*'ESTIMATIVA DE HORAS TÉCNICAS'!$F$944+'ESTIMATIVA DE HORAS TÉCNICAS'!L557*'ESTIMATIVA DE HORAS TÉCNICAS'!F$951+'ESTIMATIVA DE HORAS TÉCNICAS'!M557*'ESTIMATIVA DE HORAS TÉCNICAS'!F$950+'ESTIMATIVA DE HORAS TÉCNICAS'!N557*'ESTIMATIVA DE HORAS TÉCNICAS'!F$949+'ESTIMATIVA DE HORAS TÉCNICAS'!O557*'ESTIMATIVA DE HORAS TÉCNICAS'!F$948+'ESTIMATIVA DE HORAS TÉCNICAS'!P557*'ESTIMATIVA DE HORAS TÉCNICAS'!$F$947+'ESTIMATIVA DE HORAS TÉCNICAS'!Q557*'ESTIMATIVA DE HORAS TÉCNICAS'!F$953+'ESTIMATIVA DE HORAS TÉCNICAS'!R557*'ESTIMATIVA DE HORAS TÉCNICAS'!F$954</f>
        <v>1779.6696296082282</v>
      </c>
      <c r="E554" s="411">
        <f>'CALCULO DO FATO K'!D$10</f>
        <v>2.3175723620309046</v>
      </c>
      <c r="F554" s="714"/>
      <c r="G554" s="714"/>
      <c r="H554" s="411">
        <f>D554*E554</f>
        <v>4124.5131471258064</v>
      </c>
      <c r="I554" s="416"/>
      <c r="J554" s="767"/>
    </row>
    <row r="555" spans="1:10" ht="15.75">
      <c r="A555" s="426" t="s">
        <v>557</v>
      </c>
      <c r="B555" s="428" t="s">
        <v>105</v>
      </c>
      <c r="C555" s="224"/>
      <c r="D555" s="787">
        <f>'ESTIMATIVA DE HORAS TÉCNICAS'!F558*'ESTIMATIVA DE HORAS TÉCNICAS'!F$943+'ESTIMATIVA DE HORAS TÉCNICAS'!G558*'ESTIMATIVA DE HORAS TÉCNICAS'!F$942+'ESTIMATIVA DE HORAS TÉCNICAS'!H558*'ESTIMATIVA DE HORAS TÉCNICAS'!F$941+'ESTIMATIVA DE HORAS TÉCNICAS'!I558*'ESTIMATIVA DE HORAS TÉCNICAS'!F$945+'ESTIMATIVA DE HORAS TÉCNICAS'!J558*'ESTIMATIVA DE HORAS TÉCNICAS'!F$946+'ESTIMATIVA DE HORAS TÉCNICAS'!K558*'ESTIMATIVA DE HORAS TÉCNICAS'!$F$944+'ESTIMATIVA DE HORAS TÉCNICAS'!L558*'ESTIMATIVA DE HORAS TÉCNICAS'!F$951+'ESTIMATIVA DE HORAS TÉCNICAS'!M558*'ESTIMATIVA DE HORAS TÉCNICAS'!F$950+'ESTIMATIVA DE HORAS TÉCNICAS'!N558*'ESTIMATIVA DE HORAS TÉCNICAS'!F$949+'ESTIMATIVA DE HORAS TÉCNICAS'!O558*'ESTIMATIVA DE HORAS TÉCNICAS'!F$948+'ESTIMATIVA DE HORAS TÉCNICAS'!P558*'ESTIMATIVA DE HORAS TÉCNICAS'!$F$947+'ESTIMATIVA DE HORAS TÉCNICAS'!Q558*'ESTIMATIVA DE HORAS TÉCNICAS'!F$953+'ESTIMATIVA DE HORAS TÉCNICAS'!R558*'ESTIMATIVA DE HORAS TÉCNICAS'!F$954</f>
        <v>1186.446419738819</v>
      </c>
      <c r="E555" s="411">
        <f>'CALCULO DO FATO K'!D$10</f>
        <v>2.3175723620309046</v>
      </c>
      <c r="F555" s="714"/>
      <c r="G555" s="714"/>
      <c r="H555" s="411">
        <f>D555*E555</f>
        <v>2749.6754314172049</v>
      </c>
      <c r="I555" s="416"/>
      <c r="J555" s="767"/>
    </row>
    <row r="556" spans="1:10" ht="15.75">
      <c r="A556" s="426" t="s">
        <v>558</v>
      </c>
      <c r="B556" s="428" t="s">
        <v>142</v>
      </c>
      <c r="C556" s="224"/>
      <c r="D556" s="787">
        <f>'ESTIMATIVA DE HORAS TÉCNICAS'!F559*'ESTIMATIVA DE HORAS TÉCNICAS'!F$943+'ESTIMATIVA DE HORAS TÉCNICAS'!G559*'ESTIMATIVA DE HORAS TÉCNICAS'!F$942+'ESTIMATIVA DE HORAS TÉCNICAS'!H559*'ESTIMATIVA DE HORAS TÉCNICAS'!F$941+'ESTIMATIVA DE HORAS TÉCNICAS'!I559*'ESTIMATIVA DE HORAS TÉCNICAS'!F$945+'ESTIMATIVA DE HORAS TÉCNICAS'!J559*'ESTIMATIVA DE HORAS TÉCNICAS'!F$946+'ESTIMATIVA DE HORAS TÉCNICAS'!K559*'ESTIMATIVA DE HORAS TÉCNICAS'!$F$944+'ESTIMATIVA DE HORAS TÉCNICAS'!L559*'ESTIMATIVA DE HORAS TÉCNICAS'!F$951+'ESTIMATIVA DE HORAS TÉCNICAS'!M559*'ESTIMATIVA DE HORAS TÉCNICAS'!F$950+'ESTIMATIVA DE HORAS TÉCNICAS'!N559*'ESTIMATIVA DE HORAS TÉCNICAS'!F$949+'ESTIMATIVA DE HORAS TÉCNICAS'!O559*'ESTIMATIVA DE HORAS TÉCNICAS'!F$948+'ESTIMATIVA DE HORAS TÉCNICAS'!P559*'ESTIMATIVA DE HORAS TÉCNICAS'!$F$947+'ESTIMATIVA DE HORAS TÉCNICAS'!Q559*'ESTIMATIVA DE HORAS TÉCNICAS'!F$953+'ESTIMATIVA DE HORAS TÉCNICAS'!R559*'ESTIMATIVA DE HORAS TÉCNICAS'!F$954</f>
        <v>4745.7856789552761</v>
      </c>
      <c r="E556" s="411">
        <f>'CALCULO DO FATO K'!D$10</f>
        <v>2.3175723620309046</v>
      </c>
      <c r="F556" s="714"/>
      <c r="G556" s="714"/>
      <c r="H556" s="411">
        <f>D556*E556</f>
        <v>10998.70172566882</v>
      </c>
      <c r="I556" s="416"/>
      <c r="J556" s="767"/>
    </row>
    <row r="557" spans="1:10" ht="15.75">
      <c r="A557" s="426" t="s">
        <v>559</v>
      </c>
      <c r="B557" s="428" t="s">
        <v>150</v>
      </c>
      <c r="C557" s="410"/>
      <c r="D557" s="787">
        <f>'ESTIMATIVA DE HORAS TÉCNICAS'!F560*'ESTIMATIVA DE HORAS TÉCNICAS'!F$943+'ESTIMATIVA DE HORAS TÉCNICAS'!G560*'ESTIMATIVA DE HORAS TÉCNICAS'!F$942+'ESTIMATIVA DE HORAS TÉCNICAS'!H560*'ESTIMATIVA DE HORAS TÉCNICAS'!F$941+'ESTIMATIVA DE HORAS TÉCNICAS'!I560*'ESTIMATIVA DE HORAS TÉCNICAS'!F$945+'ESTIMATIVA DE HORAS TÉCNICAS'!J560*'ESTIMATIVA DE HORAS TÉCNICAS'!F$946+'ESTIMATIVA DE HORAS TÉCNICAS'!K560*'ESTIMATIVA DE HORAS TÉCNICAS'!$F$944+'ESTIMATIVA DE HORAS TÉCNICAS'!L560*'ESTIMATIVA DE HORAS TÉCNICAS'!F$951+'ESTIMATIVA DE HORAS TÉCNICAS'!M560*'ESTIMATIVA DE HORAS TÉCNICAS'!F$950+'ESTIMATIVA DE HORAS TÉCNICAS'!N560*'ESTIMATIVA DE HORAS TÉCNICAS'!F$949+'ESTIMATIVA DE HORAS TÉCNICAS'!O560*'ESTIMATIVA DE HORAS TÉCNICAS'!F$948+'ESTIMATIVA DE HORAS TÉCNICAS'!P560*'ESTIMATIVA DE HORAS TÉCNICAS'!$F$947+'ESTIMATIVA DE HORAS TÉCNICAS'!Q560*'ESTIMATIVA DE HORAS TÉCNICAS'!F$953+'ESTIMATIVA DE HORAS TÉCNICAS'!R560*'ESTIMATIVA DE HORAS TÉCNICAS'!F$954</f>
        <v>2372.8928394776381</v>
      </c>
      <c r="E557" s="411">
        <f>'CALCULO DO FATO K'!D$10</f>
        <v>2.3175723620309046</v>
      </c>
      <c r="F557" s="714"/>
      <c r="G557" s="714"/>
      <c r="H557" s="411">
        <f>D557*E557</f>
        <v>5499.3508628344098</v>
      </c>
      <c r="I557" s="416">
        <f>SUM(H553:H557)</f>
        <v>27496.754314172049</v>
      </c>
      <c r="J557" s="767"/>
    </row>
    <row r="558" spans="1:10" s="532" customFormat="1" ht="15.75">
      <c r="A558" s="426"/>
      <c r="B558" s="428"/>
      <c r="C558" s="410"/>
      <c r="D558" s="787"/>
      <c r="E558" s="411"/>
      <c r="F558" s="714"/>
      <c r="G558" s="714"/>
      <c r="H558" s="411"/>
      <c r="I558" s="416"/>
      <c r="J558" s="767"/>
    </row>
    <row r="559" spans="1:10" s="284" customFormat="1" ht="15.75">
      <c r="A559" s="426"/>
      <c r="B559" s="768"/>
      <c r="C559" s="224"/>
      <c r="D559" s="787"/>
      <c r="E559" s="411"/>
      <c r="F559" s="714"/>
      <c r="G559" s="714"/>
      <c r="H559" s="411"/>
      <c r="I559" s="416"/>
      <c r="J559" s="767"/>
    </row>
    <row r="560" spans="1:10" ht="15.75">
      <c r="A560" s="391" t="s">
        <v>560</v>
      </c>
      <c r="B560" s="427" t="s">
        <v>287</v>
      </c>
      <c r="C560" s="478"/>
      <c r="D560" s="480"/>
      <c r="E560" s="475"/>
      <c r="F560" s="475"/>
      <c r="G560" s="475"/>
      <c r="H560" s="475"/>
      <c r="I560" s="476"/>
      <c r="J560" s="767"/>
    </row>
    <row r="561" spans="1:10" ht="15.75">
      <c r="A561" s="426" t="s">
        <v>561</v>
      </c>
      <c r="B561" s="428" t="s">
        <v>326</v>
      </c>
      <c r="C561" s="410"/>
      <c r="D561" s="787">
        <f>'ESTIMATIVA DE HORAS TÉCNICAS'!F564*'ESTIMATIVA DE HORAS TÉCNICAS'!F$943+'ESTIMATIVA DE HORAS TÉCNICAS'!G564*'ESTIMATIVA DE HORAS TÉCNICAS'!F$942+'ESTIMATIVA DE HORAS TÉCNICAS'!H564*'ESTIMATIVA DE HORAS TÉCNICAS'!F$941+'ESTIMATIVA DE HORAS TÉCNICAS'!I564*'ESTIMATIVA DE HORAS TÉCNICAS'!F$945+'ESTIMATIVA DE HORAS TÉCNICAS'!J564*'ESTIMATIVA DE HORAS TÉCNICAS'!F$946+'ESTIMATIVA DE HORAS TÉCNICAS'!K564*'ESTIMATIVA DE HORAS TÉCNICAS'!$F$944+'ESTIMATIVA DE HORAS TÉCNICAS'!L564*'ESTIMATIVA DE HORAS TÉCNICAS'!F$951+'ESTIMATIVA DE HORAS TÉCNICAS'!M564*'ESTIMATIVA DE HORAS TÉCNICAS'!F$950+'ESTIMATIVA DE HORAS TÉCNICAS'!N564*'ESTIMATIVA DE HORAS TÉCNICAS'!F$949+'ESTIMATIVA DE HORAS TÉCNICAS'!O564*'ESTIMATIVA DE HORAS TÉCNICAS'!F$948+'ESTIMATIVA DE HORAS TÉCNICAS'!P564*'ESTIMATIVA DE HORAS TÉCNICAS'!$F$947+'ESTIMATIVA DE HORAS TÉCNICAS'!Q564*'ESTIMATIVA DE HORAS TÉCNICAS'!F$953+'ESTIMATIVA DE HORAS TÉCNICAS'!R564*'ESTIMATIVA DE HORAS TÉCNICAS'!F$954</f>
        <v>1609.3997094649255</v>
      </c>
      <c r="E561" s="411">
        <f>'CALCULO DO FATO K'!D$10</f>
        <v>2.3175723620309046</v>
      </c>
      <c r="F561" s="714"/>
      <c r="G561" s="714"/>
      <c r="H561" s="411">
        <f t="shared" ref="H561:H566" si="32">D561*E561</f>
        <v>3729.900286116479</v>
      </c>
      <c r="I561" s="416"/>
      <c r="J561" s="767"/>
    </row>
    <row r="562" spans="1:10" ht="15.75">
      <c r="A562" s="426" t="s">
        <v>562</v>
      </c>
      <c r="B562" s="428" t="s">
        <v>135</v>
      </c>
      <c r="C562" s="410"/>
      <c r="D562" s="787">
        <f>'ESTIMATIVA DE HORAS TÉCNICAS'!F565*'ESTIMATIVA DE HORAS TÉCNICAS'!F$943+'ESTIMATIVA DE HORAS TÉCNICAS'!G565*'ESTIMATIVA DE HORAS TÉCNICAS'!F$942+'ESTIMATIVA DE HORAS TÉCNICAS'!H565*'ESTIMATIVA DE HORAS TÉCNICAS'!F$941+'ESTIMATIVA DE HORAS TÉCNICAS'!I565*'ESTIMATIVA DE HORAS TÉCNICAS'!F$945+'ESTIMATIVA DE HORAS TÉCNICAS'!J565*'ESTIMATIVA DE HORAS TÉCNICAS'!F$946+'ESTIMATIVA DE HORAS TÉCNICAS'!K565*'ESTIMATIVA DE HORAS TÉCNICAS'!$F$944+'ESTIMATIVA DE HORAS TÉCNICAS'!L565*'ESTIMATIVA DE HORAS TÉCNICAS'!F$951+'ESTIMATIVA DE HORAS TÉCNICAS'!M565*'ESTIMATIVA DE HORAS TÉCNICAS'!F$950+'ESTIMATIVA DE HORAS TÉCNICAS'!N565*'ESTIMATIVA DE HORAS TÉCNICAS'!F$949+'ESTIMATIVA DE HORAS TÉCNICAS'!O565*'ESTIMATIVA DE HORAS TÉCNICAS'!F$948+'ESTIMATIVA DE HORAS TÉCNICAS'!P565*'ESTIMATIVA DE HORAS TÉCNICAS'!$F$947+'ESTIMATIVA DE HORAS TÉCNICAS'!Q565*'ESTIMATIVA DE HORAS TÉCNICAS'!F$953+'ESTIMATIVA DE HORAS TÉCNICAS'!R565*'ESTIMATIVA DE HORAS TÉCNICAS'!F$954</f>
        <v>1207.0497820986941</v>
      </c>
      <c r="E562" s="411">
        <f>'CALCULO DO FATO K'!D$10</f>
        <v>2.3175723620309046</v>
      </c>
      <c r="F562" s="714"/>
      <c r="G562" s="714"/>
      <c r="H562" s="411">
        <f t="shared" si="32"/>
        <v>2797.4252145873593</v>
      </c>
      <c r="I562" s="416"/>
      <c r="J562" s="767"/>
    </row>
    <row r="563" spans="1:10" ht="15.75">
      <c r="A563" s="426" t="s">
        <v>563</v>
      </c>
      <c r="B563" s="428" t="s">
        <v>105</v>
      </c>
      <c r="C563" s="410"/>
      <c r="D563" s="787">
        <f>'ESTIMATIVA DE HORAS TÉCNICAS'!F566*'ESTIMATIVA DE HORAS TÉCNICAS'!F$943+'ESTIMATIVA DE HORAS TÉCNICAS'!G566*'ESTIMATIVA DE HORAS TÉCNICAS'!F$942+'ESTIMATIVA DE HORAS TÉCNICAS'!H566*'ESTIMATIVA DE HORAS TÉCNICAS'!F$941+'ESTIMATIVA DE HORAS TÉCNICAS'!I566*'ESTIMATIVA DE HORAS TÉCNICAS'!F$945+'ESTIMATIVA DE HORAS TÉCNICAS'!J566*'ESTIMATIVA DE HORAS TÉCNICAS'!F$946+'ESTIMATIVA DE HORAS TÉCNICAS'!K566*'ESTIMATIVA DE HORAS TÉCNICAS'!$F$944+'ESTIMATIVA DE HORAS TÉCNICAS'!L566*'ESTIMATIVA DE HORAS TÉCNICAS'!F$951+'ESTIMATIVA DE HORAS TÉCNICAS'!M566*'ESTIMATIVA DE HORAS TÉCNICAS'!F$950+'ESTIMATIVA DE HORAS TÉCNICAS'!N566*'ESTIMATIVA DE HORAS TÉCNICAS'!F$949+'ESTIMATIVA DE HORAS TÉCNICAS'!O566*'ESTIMATIVA DE HORAS TÉCNICAS'!F$948+'ESTIMATIVA DE HORAS TÉCNICAS'!P566*'ESTIMATIVA DE HORAS TÉCNICAS'!$F$947+'ESTIMATIVA DE HORAS TÉCNICAS'!Q566*'ESTIMATIVA DE HORAS TÉCNICAS'!F$953+'ESTIMATIVA DE HORAS TÉCNICAS'!R566*'ESTIMATIVA DE HORAS TÉCNICAS'!F$954</f>
        <v>804.69985473246277</v>
      </c>
      <c r="E563" s="411">
        <f>'CALCULO DO FATO K'!D$10</f>
        <v>2.3175723620309046</v>
      </c>
      <c r="F563" s="714"/>
      <c r="G563" s="714"/>
      <c r="H563" s="411">
        <f t="shared" si="32"/>
        <v>1864.9501430582395</v>
      </c>
      <c r="I563" s="416"/>
      <c r="J563" s="767"/>
    </row>
    <row r="564" spans="1:10" ht="15.75">
      <c r="A564" s="426" t="s">
        <v>564</v>
      </c>
      <c r="B564" s="428" t="s">
        <v>142</v>
      </c>
      <c r="C564" s="410"/>
      <c r="D564" s="787">
        <f>'ESTIMATIVA DE HORAS TÉCNICAS'!F567*'ESTIMATIVA DE HORAS TÉCNICAS'!F$943+'ESTIMATIVA DE HORAS TÉCNICAS'!G567*'ESTIMATIVA DE HORAS TÉCNICAS'!F$942+'ESTIMATIVA DE HORAS TÉCNICAS'!H567*'ESTIMATIVA DE HORAS TÉCNICAS'!F$941+'ESTIMATIVA DE HORAS TÉCNICAS'!I567*'ESTIMATIVA DE HORAS TÉCNICAS'!F$945+'ESTIMATIVA DE HORAS TÉCNICAS'!J567*'ESTIMATIVA DE HORAS TÉCNICAS'!F$946+'ESTIMATIVA DE HORAS TÉCNICAS'!K567*'ESTIMATIVA DE HORAS TÉCNICAS'!$F$944+'ESTIMATIVA DE HORAS TÉCNICAS'!L567*'ESTIMATIVA DE HORAS TÉCNICAS'!F$951+'ESTIMATIVA DE HORAS TÉCNICAS'!M567*'ESTIMATIVA DE HORAS TÉCNICAS'!F$950+'ESTIMATIVA DE HORAS TÉCNICAS'!N567*'ESTIMATIVA DE HORAS TÉCNICAS'!F$949+'ESTIMATIVA DE HORAS TÉCNICAS'!O567*'ESTIMATIVA DE HORAS TÉCNICAS'!F$948+'ESTIMATIVA DE HORAS TÉCNICAS'!P567*'ESTIMATIVA DE HORAS TÉCNICAS'!$F$947+'ESTIMATIVA DE HORAS TÉCNICAS'!Q567*'ESTIMATIVA DE HORAS TÉCNICAS'!F$953+'ESTIMATIVA DE HORAS TÉCNICAS'!R567*'ESTIMATIVA DE HORAS TÉCNICAS'!F$954</f>
        <v>1609.3997094649255</v>
      </c>
      <c r="E564" s="411">
        <f>'CALCULO DO FATO K'!D$10</f>
        <v>2.3175723620309046</v>
      </c>
      <c r="F564" s="714"/>
      <c r="G564" s="714"/>
      <c r="H564" s="411">
        <f t="shared" si="32"/>
        <v>3729.900286116479</v>
      </c>
      <c r="I564" s="416"/>
      <c r="J564" s="767"/>
    </row>
    <row r="565" spans="1:10" ht="15.75">
      <c r="A565" s="426" t="s">
        <v>565</v>
      </c>
      <c r="B565" s="428" t="s">
        <v>150</v>
      </c>
      <c r="C565" s="410"/>
      <c r="D565" s="787">
        <f>'ESTIMATIVA DE HORAS TÉCNICAS'!F568*'ESTIMATIVA DE HORAS TÉCNICAS'!F$943+'ESTIMATIVA DE HORAS TÉCNICAS'!G568*'ESTIMATIVA DE HORAS TÉCNICAS'!F$942+'ESTIMATIVA DE HORAS TÉCNICAS'!H568*'ESTIMATIVA DE HORAS TÉCNICAS'!F$941+'ESTIMATIVA DE HORAS TÉCNICAS'!I568*'ESTIMATIVA DE HORAS TÉCNICAS'!F$945+'ESTIMATIVA DE HORAS TÉCNICAS'!J568*'ESTIMATIVA DE HORAS TÉCNICAS'!F$946+'ESTIMATIVA DE HORAS TÉCNICAS'!K568*'ESTIMATIVA DE HORAS TÉCNICAS'!$F$944+'ESTIMATIVA DE HORAS TÉCNICAS'!L568*'ESTIMATIVA DE HORAS TÉCNICAS'!F$951+'ESTIMATIVA DE HORAS TÉCNICAS'!M568*'ESTIMATIVA DE HORAS TÉCNICAS'!F$950+'ESTIMATIVA DE HORAS TÉCNICAS'!N568*'ESTIMATIVA DE HORAS TÉCNICAS'!F$949+'ESTIMATIVA DE HORAS TÉCNICAS'!O568*'ESTIMATIVA DE HORAS TÉCNICAS'!F$948+'ESTIMATIVA DE HORAS TÉCNICAS'!P568*'ESTIMATIVA DE HORAS TÉCNICAS'!$F$947+'ESTIMATIVA DE HORAS TÉCNICAS'!Q568*'ESTIMATIVA DE HORAS TÉCNICAS'!F$953+'ESTIMATIVA DE HORAS TÉCNICAS'!R568*'ESTIMATIVA DE HORAS TÉCNICAS'!F$954</f>
        <v>1609.3997094649255</v>
      </c>
      <c r="E565" s="411">
        <f>'CALCULO DO FATO K'!D$10</f>
        <v>2.3175723620309046</v>
      </c>
      <c r="F565" s="714"/>
      <c r="G565" s="714"/>
      <c r="H565" s="411">
        <f t="shared" si="32"/>
        <v>3729.900286116479</v>
      </c>
      <c r="I565" s="416"/>
      <c r="J565" s="767"/>
    </row>
    <row r="566" spans="1:10" ht="15.75">
      <c r="A566" s="426" t="s">
        <v>566</v>
      </c>
      <c r="B566" s="428" t="s">
        <v>213</v>
      </c>
      <c r="C566" s="410"/>
      <c r="D566" s="787">
        <f>'ESTIMATIVA DE HORAS TÉCNICAS'!F569*'ESTIMATIVA DE HORAS TÉCNICAS'!F$943+'ESTIMATIVA DE HORAS TÉCNICAS'!G569*'ESTIMATIVA DE HORAS TÉCNICAS'!F$942+'ESTIMATIVA DE HORAS TÉCNICAS'!H569*'ESTIMATIVA DE HORAS TÉCNICAS'!F$941+'ESTIMATIVA DE HORAS TÉCNICAS'!I569*'ESTIMATIVA DE HORAS TÉCNICAS'!F$945+'ESTIMATIVA DE HORAS TÉCNICAS'!J569*'ESTIMATIVA DE HORAS TÉCNICAS'!F$946+'ESTIMATIVA DE HORAS TÉCNICAS'!K569*'ESTIMATIVA DE HORAS TÉCNICAS'!$F$944+'ESTIMATIVA DE HORAS TÉCNICAS'!L569*'ESTIMATIVA DE HORAS TÉCNICAS'!F$951+'ESTIMATIVA DE HORAS TÉCNICAS'!M569*'ESTIMATIVA DE HORAS TÉCNICAS'!F$950+'ESTIMATIVA DE HORAS TÉCNICAS'!N569*'ESTIMATIVA DE HORAS TÉCNICAS'!F$949+'ESTIMATIVA DE HORAS TÉCNICAS'!O569*'ESTIMATIVA DE HORAS TÉCNICAS'!F$948+'ESTIMATIVA DE HORAS TÉCNICAS'!P569*'ESTIMATIVA DE HORAS TÉCNICAS'!$F$947+'ESTIMATIVA DE HORAS TÉCNICAS'!Q569*'ESTIMATIVA DE HORAS TÉCNICAS'!F$953+'ESTIMATIVA DE HORAS TÉCNICAS'!R569*'ESTIMATIVA DE HORAS TÉCNICAS'!F$954</f>
        <v>1207.0497820986941</v>
      </c>
      <c r="E566" s="411">
        <f>'CALCULO DO FATO K'!D$10</f>
        <v>2.3175723620309046</v>
      </c>
      <c r="F566" s="714"/>
      <c r="G566" s="714"/>
      <c r="H566" s="411">
        <f t="shared" si="32"/>
        <v>2797.4252145873593</v>
      </c>
      <c r="I566" s="416">
        <f>SUM(H561:H566)</f>
        <v>18649.501430582393</v>
      </c>
      <c r="J566" s="767"/>
    </row>
    <row r="567" spans="1:10" s="532" customFormat="1" ht="15.75">
      <c r="A567" s="426"/>
      <c r="B567" s="428"/>
      <c r="C567" s="410"/>
      <c r="D567" s="787"/>
      <c r="E567" s="411"/>
      <c r="F567" s="714"/>
      <c r="G567" s="714"/>
      <c r="H567" s="411"/>
      <c r="I567" s="416"/>
      <c r="J567" s="767"/>
    </row>
    <row r="568" spans="1:10" s="284" customFormat="1" ht="15.75">
      <c r="A568" s="426"/>
      <c r="B568" s="768"/>
      <c r="C568" s="410"/>
      <c r="D568" s="787"/>
      <c r="E568" s="411"/>
      <c r="F568" s="714"/>
      <c r="G568" s="714"/>
      <c r="H568" s="411"/>
      <c r="I568" s="416"/>
      <c r="J568" s="767"/>
    </row>
    <row r="569" spans="1:10" ht="15.75">
      <c r="A569" s="391" t="s">
        <v>567</v>
      </c>
      <c r="B569" s="427" t="s">
        <v>291</v>
      </c>
      <c r="C569" s="474"/>
      <c r="D569" s="480"/>
      <c r="E569" s="475"/>
      <c r="F569" s="475"/>
      <c r="G569" s="475"/>
      <c r="H569" s="475"/>
      <c r="I569" s="476"/>
      <c r="J569" s="767"/>
    </row>
    <row r="570" spans="1:10" ht="15.75">
      <c r="A570" s="426" t="s">
        <v>568</v>
      </c>
      <c r="B570" s="768" t="s">
        <v>569</v>
      </c>
      <c r="C570" s="409"/>
      <c r="D570" s="787">
        <f>'ESTIMATIVA DE HORAS TÉCNICAS'!F573*'ESTIMATIVA DE HORAS TÉCNICAS'!F$943+'ESTIMATIVA DE HORAS TÉCNICAS'!G573*'ESTIMATIVA DE HORAS TÉCNICAS'!F$942+'ESTIMATIVA DE HORAS TÉCNICAS'!H573*'ESTIMATIVA DE HORAS TÉCNICAS'!F$941+'ESTIMATIVA DE HORAS TÉCNICAS'!I573*'ESTIMATIVA DE HORAS TÉCNICAS'!F$945+'ESTIMATIVA DE HORAS TÉCNICAS'!J573*'ESTIMATIVA DE HORAS TÉCNICAS'!F$946+'ESTIMATIVA DE HORAS TÉCNICAS'!K573*'ESTIMATIVA DE HORAS TÉCNICAS'!$F$944+'ESTIMATIVA DE HORAS TÉCNICAS'!L573*'ESTIMATIVA DE HORAS TÉCNICAS'!F$951+'ESTIMATIVA DE HORAS TÉCNICAS'!M573*'ESTIMATIVA DE HORAS TÉCNICAS'!F$950+'ESTIMATIVA DE HORAS TÉCNICAS'!N573*'ESTIMATIVA DE HORAS TÉCNICAS'!F$949+'ESTIMATIVA DE HORAS TÉCNICAS'!O573*'ESTIMATIVA DE HORAS TÉCNICAS'!F$948+'ESTIMATIVA DE HORAS TÉCNICAS'!P573*'ESTIMATIVA DE HORAS TÉCNICAS'!$F$947+'ESTIMATIVA DE HORAS TÉCNICAS'!Q573*'ESTIMATIVA DE HORAS TÉCNICAS'!F$953+'ESTIMATIVA DE HORAS TÉCNICAS'!R573*'ESTIMATIVA DE HORAS TÉCNICAS'!F$954</f>
        <v>1931.3550761007741</v>
      </c>
      <c r="E570" s="411">
        <f>'CALCULO DO FATO K'!D$10</f>
        <v>2.3175723620309046</v>
      </c>
      <c r="F570" s="714"/>
      <c r="G570" s="714"/>
      <c r="H570" s="411">
        <f>D570*E570</f>
        <v>4476.0551456392486</v>
      </c>
      <c r="I570" s="416"/>
      <c r="J570" s="767"/>
    </row>
    <row r="571" spans="1:10" s="368" customFormat="1" ht="15.75">
      <c r="A571" s="426" t="s">
        <v>570</v>
      </c>
      <c r="B571" s="768" t="s">
        <v>571</v>
      </c>
      <c r="C571" s="409"/>
      <c r="D571" s="787">
        <f>'ESTIMATIVA DE HORAS TÉCNICAS'!F574*'ESTIMATIVA DE HORAS TÉCNICAS'!F$943+'ESTIMATIVA DE HORAS TÉCNICAS'!G574*'ESTIMATIVA DE HORAS TÉCNICAS'!F$942+'ESTIMATIVA DE HORAS TÉCNICAS'!H574*'ESTIMATIVA DE HORAS TÉCNICAS'!F$941+'ESTIMATIVA DE HORAS TÉCNICAS'!I574*'ESTIMATIVA DE HORAS TÉCNICAS'!F$945+'ESTIMATIVA DE HORAS TÉCNICAS'!J574*'ESTIMATIVA DE HORAS TÉCNICAS'!F$946+'ESTIMATIVA DE HORAS TÉCNICAS'!K574*'ESTIMATIVA DE HORAS TÉCNICAS'!$F$944+'ESTIMATIVA DE HORAS TÉCNICAS'!L574*'ESTIMATIVA DE HORAS TÉCNICAS'!F$951+'ESTIMATIVA DE HORAS TÉCNICAS'!M574*'ESTIMATIVA DE HORAS TÉCNICAS'!F$950+'ESTIMATIVA DE HORAS TÉCNICAS'!N574*'ESTIMATIVA DE HORAS TÉCNICAS'!F$949+'ESTIMATIVA DE HORAS TÉCNICAS'!O574*'ESTIMATIVA DE HORAS TÉCNICAS'!F$948+'ESTIMATIVA DE HORAS TÉCNICAS'!P574*'ESTIMATIVA DE HORAS TÉCNICAS'!$F$947+'ESTIMATIVA DE HORAS TÉCNICAS'!Q574*'ESTIMATIVA DE HORAS TÉCNICAS'!F$953+'ESTIMATIVA DE HORAS TÉCNICAS'!R574*'ESTIMATIVA DE HORAS TÉCNICAS'!F$954</f>
        <v>4506.4951775684731</v>
      </c>
      <c r="E571" s="411">
        <f>'CALCULO DO FATO K'!D$10</f>
        <v>2.3175723620309046</v>
      </c>
      <c r="F571" s="714"/>
      <c r="G571" s="714"/>
      <c r="H571" s="411">
        <f>D571*E571</f>
        <v>10444.128673158248</v>
      </c>
      <c r="I571" s="416">
        <f>H570+H571</f>
        <v>14920.183818797497</v>
      </c>
      <c r="J571" s="767"/>
    </row>
    <row r="572" spans="1:10" ht="15.75">
      <c r="A572" s="426"/>
      <c r="B572" s="768"/>
      <c r="C572" s="409"/>
      <c r="D572" s="787"/>
      <c r="E572" s="714"/>
      <c r="F572" s="714"/>
      <c r="G572" s="714"/>
      <c r="H572" s="714"/>
      <c r="I572" s="416"/>
      <c r="J572" s="767"/>
    </row>
    <row r="573" spans="1:10" s="485" customFormat="1" ht="16.5" customHeight="1">
      <c r="A573" s="851"/>
      <c r="B573" s="312" t="s">
        <v>572</v>
      </c>
      <c r="C573" s="309"/>
      <c r="D573" s="790"/>
      <c r="E573" s="313"/>
      <c r="F573" s="313"/>
      <c r="G573" s="313"/>
      <c r="H573" s="313"/>
      <c r="I573" s="310">
        <f>SUM(I258:I572)</f>
        <v>2221078.4809162659</v>
      </c>
      <c r="J573" s="36"/>
    </row>
    <row r="574" spans="1:10" ht="15.75">
      <c r="A574" s="426"/>
      <c r="B574" s="768"/>
      <c r="C574" s="409"/>
      <c r="D574" s="787"/>
      <c r="E574" s="714"/>
      <c r="F574" s="714"/>
      <c r="G574" s="714"/>
      <c r="H574" s="714"/>
      <c r="I574" s="416"/>
      <c r="J574" s="767"/>
    </row>
    <row r="575" spans="1:10" ht="15.75">
      <c r="A575" s="851" t="s">
        <v>573</v>
      </c>
      <c r="B575" s="482" t="s">
        <v>12</v>
      </c>
      <c r="C575" s="483">
        <f>'ESTIMATIVA DE HORAS TÉCNICAS'!C583</f>
        <v>0.35</v>
      </c>
      <c r="D575" s="793"/>
      <c r="E575" s="484"/>
      <c r="F575" s="484"/>
      <c r="G575" s="484"/>
      <c r="H575" s="484"/>
      <c r="I575" s="310"/>
      <c r="J575" s="767"/>
    </row>
    <row r="576" spans="1:10" s="318" customFormat="1" ht="15.75">
      <c r="A576" s="69"/>
      <c r="B576" s="91"/>
      <c r="C576" s="223"/>
      <c r="D576" s="787"/>
      <c r="E576" s="714"/>
      <c r="F576" s="714"/>
      <c r="G576" s="714"/>
      <c r="H576" s="714"/>
      <c r="I576" s="416"/>
      <c r="J576" s="767"/>
    </row>
    <row r="577" spans="1:10" ht="15.75">
      <c r="A577" s="391" t="s">
        <v>574</v>
      </c>
      <c r="B577" s="419" t="s">
        <v>575</v>
      </c>
      <c r="C577" s="474"/>
      <c r="D577" s="794"/>
      <c r="E577" s="475"/>
      <c r="F577" s="475"/>
      <c r="G577" s="475"/>
      <c r="H577" s="475"/>
      <c r="I577" s="476"/>
      <c r="J577" s="767"/>
    </row>
    <row r="578" spans="1:10" ht="15.75">
      <c r="A578" s="426" t="s">
        <v>576</v>
      </c>
      <c r="B578" s="768" t="s">
        <v>302</v>
      </c>
      <c r="C578" s="409"/>
      <c r="D578" s="787">
        <f>'ESTIMATIVA DE HORAS TÉCNICAS'!F586*'ESTIMATIVA DE HORAS TÉCNICAS'!F$943+'ESTIMATIVA DE HORAS TÉCNICAS'!G586*'ESTIMATIVA DE HORAS TÉCNICAS'!F$942+'ESTIMATIVA DE HORAS TÉCNICAS'!H586*'ESTIMATIVA DE HORAS TÉCNICAS'!F$941+'ESTIMATIVA DE HORAS TÉCNICAS'!I586*'ESTIMATIVA DE HORAS TÉCNICAS'!F$945+'ESTIMATIVA DE HORAS TÉCNICAS'!J586*'ESTIMATIVA DE HORAS TÉCNICAS'!F$946+'ESTIMATIVA DE HORAS TÉCNICAS'!K586*'ESTIMATIVA DE HORAS TÉCNICAS'!$F$944+'ESTIMATIVA DE HORAS TÉCNICAS'!L586*'ESTIMATIVA DE HORAS TÉCNICAS'!F$951+'ESTIMATIVA DE HORAS TÉCNICAS'!M586*'ESTIMATIVA DE HORAS TÉCNICAS'!F$950+'ESTIMATIVA DE HORAS TÉCNICAS'!N586*'ESTIMATIVA DE HORAS TÉCNICAS'!F$949+'ESTIMATIVA DE HORAS TÉCNICAS'!O586*'ESTIMATIVA DE HORAS TÉCNICAS'!F$948+'ESTIMATIVA DE HORAS TÉCNICAS'!P586*'ESTIMATIVA DE HORAS TÉCNICAS'!$F$947+'ESTIMATIVA DE HORAS TÉCNICAS'!Q586*'ESTIMATIVA DE HORAS TÉCNICAS'!F$953+'ESTIMATIVA DE HORAS TÉCNICAS'!R586*'ESTIMATIVA DE HORAS TÉCNICAS'!F$954</f>
        <v>12223.893904373683</v>
      </c>
      <c r="E578" s="411">
        <f>'CALCULO DO FATO K'!D$10</f>
        <v>2.3175723620309046</v>
      </c>
      <c r="F578" s="714"/>
      <c r="G578" s="714"/>
      <c r="H578" s="411">
        <f>D578*E578</f>
        <v>28329.758669174491</v>
      </c>
      <c r="I578" s="416"/>
      <c r="J578" s="767"/>
    </row>
    <row r="579" spans="1:10" ht="31.5">
      <c r="A579" s="426" t="s">
        <v>577</v>
      </c>
      <c r="B579" s="656" t="s">
        <v>578</v>
      </c>
      <c r="C579" s="409"/>
      <c r="D579" s="787">
        <f>'ESTIMATIVA DE HORAS TÉCNICAS'!F587*'ESTIMATIVA DE HORAS TÉCNICAS'!F$943+'ESTIMATIVA DE HORAS TÉCNICAS'!G587*'ESTIMATIVA DE HORAS TÉCNICAS'!F$942+'ESTIMATIVA DE HORAS TÉCNICAS'!H587*'ESTIMATIVA DE HORAS TÉCNICAS'!F$941+'ESTIMATIVA DE HORAS TÉCNICAS'!I587*'ESTIMATIVA DE HORAS TÉCNICAS'!F$945+'ESTIMATIVA DE HORAS TÉCNICAS'!J587*'ESTIMATIVA DE HORAS TÉCNICAS'!F$946+'ESTIMATIVA DE HORAS TÉCNICAS'!K587*'ESTIMATIVA DE HORAS TÉCNICAS'!$F$944+'ESTIMATIVA DE HORAS TÉCNICAS'!L587*'ESTIMATIVA DE HORAS TÉCNICAS'!F$951+'ESTIMATIVA DE HORAS TÉCNICAS'!M587*'ESTIMATIVA DE HORAS TÉCNICAS'!F$950+'ESTIMATIVA DE HORAS TÉCNICAS'!N587*'ESTIMATIVA DE HORAS TÉCNICAS'!F$949+'ESTIMATIVA DE HORAS TÉCNICAS'!O587*'ESTIMATIVA DE HORAS TÉCNICAS'!F$948+'ESTIMATIVA DE HORAS TÉCNICAS'!P587*'ESTIMATIVA DE HORAS TÉCNICAS'!$F$947+'ESTIMATIVA DE HORAS TÉCNICAS'!Q587*'ESTIMATIVA DE HORAS TÉCNICAS'!F$953+'ESTIMATIVA DE HORAS TÉCNICAS'!R587*'ESTIMATIVA DE HORAS TÉCNICAS'!F$954</f>
        <v>48895.575617494731</v>
      </c>
      <c r="E579" s="411">
        <f>'CALCULO DO FATO K'!D$10</f>
        <v>2.3175723620309046</v>
      </c>
      <c r="F579" s="714"/>
      <c r="G579" s="714"/>
      <c r="H579" s="411">
        <f t="shared" ref="H579:H584" si="33">D579*E579</f>
        <v>113319.03467669796</v>
      </c>
      <c r="I579" s="416"/>
      <c r="J579" s="767"/>
    </row>
    <row r="580" spans="1:10" ht="15.75">
      <c r="A580" s="426" t="s">
        <v>579</v>
      </c>
      <c r="B580" s="768" t="s">
        <v>304</v>
      </c>
      <c r="C580" s="409"/>
      <c r="D580" s="787">
        <f>'ESTIMATIVA DE HORAS TÉCNICAS'!F588*'ESTIMATIVA DE HORAS TÉCNICAS'!F$943+'ESTIMATIVA DE HORAS TÉCNICAS'!G588*'ESTIMATIVA DE HORAS TÉCNICAS'!F$942+'ESTIMATIVA DE HORAS TÉCNICAS'!H588*'ESTIMATIVA DE HORAS TÉCNICAS'!F$941+'ESTIMATIVA DE HORAS TÉCNICAS'!I588*'ESTIMATIVA DE HORAS TÉCNICAS'!F$945+'ESTIMATIVA DE HORAS TÉCNICAS'!J588*'ESTIMATIVA DE HORAS TÉCNICAS'!F$946+'ESTIMATIVA DE HORAS TÉCNICAS'!K588*'ESTIMATIVA DE HORAS TÉCNICAS'!$F$944+'ESTIMATIVA DE HORAS TÉCNICAS'!L588*'ESTIMATIVA DE HORAS TÉCNICAS'!F$951+'ESTIMATIVA DE HORAS TÉCNICAS'!M588*'ESTIMATIVA DE HORAS TÉCNICAS'!F$950+'ESTIMATIVA DE HORAS TÉCNICAS'!N588*'ESTIMATIVA DE HORAS TÉCNICAS'!F$949+'ESTIMATIVA DE HORAS TÉCNICAS'!O588*'ESTIMATIVA DE HORAS TÉCNICAS'!F$948+'ESTIMATIVA DE HORAS TÉCNICAS'!P588*'ESTIMATIVA DE HORAS TÉCNICAS'!$F$947+'ESTIMATIVA DE HORAS TÉCNICAS'!Q588*'ESTIMATIVA DE HORAS TÉCNICAS'!F$953+'ESTIMATIVA DE HORAS TÉCNICAS'!R588*'ESTIMATIVA DE HORAS TÉCNICAS'!F$954</f>
        <v>12223.893904373683</v>
      </c>
      <c r="E580" s="411">
        <f>'CALCULO DO FATO K'!D$10</f>
        <v>2.3175723620309046</v>
      </c>
      <c r="F580" s="714"/>
      <c r="G580" s="714"/>
      <c r="H580" s="411">
        <f t="shared" si="33"/>
        <v>28329.758669174491</v>
      </c>
      <c r="I580" s="416"/>
      <c r="J580" s="767"/>
    </row>
    <row r="581" spans="1:10" ht="15.75">
      <c r="A581" s="426" t="s">
        <v>580</v>
      </c>
      <c r="B581" s="768" t="s">
        <v>306</v>
      </c>
      <c r="C581" s="409"/>
      <c r="D581" s="787">
        <f>'ESTIMATIVA DE HORAS TÉCNICAS'!F589*'ESTIMATIVA DE HORAS TÉCNICAS'!F$943+'ESTIMATIVA DE HORAS TÉCNICAS'!G589*'ESTIMATIVA DE HORAS TÉCNICAS'!F$942+'ESTIMATIVA DE HORAS TÉCNICAS'!H589*'ESTIMATIVA DE HORAS TÉCNICAS'!F$941+'ESTIMATIVA DE HORAS TÉCNICAS'!I589*'ESTIMATIVA DE HORAS TÉCNICAS'!F$945+'ESTIMATIVA DE HORAS TÉCNICAS'!J589*'ESTIMATIVA DE HORAS TÉCNICAS'!F$946+'ESTIMATIVA DE HORAS TÉCNICAS'!K589*'ESTIMATIVA DE HORAS TÉCNICAS'!$F$944+'ESTIMATIVA DE HORAS TÉCNICAS'!L589*'ESTIMATIVA DE HORAS TÉCNICAS'!F$951+'ESTIMATIVA DE HORAS TÉCNICAS'!M589*'ESTIMATIVA DE HORAS TÉCNICAS'!F$950+'ESTIMATIVA DE HORAS TÉCNICAS'!N589*'ESTIMATIVA DE HORAS TÉCNICAS'!F$949+'ESTIMATIVA DE HORAS TÉCNICAS'!O589*'ESTIMATIVA DE HORAS TÉCNICAS'!F$948+'ESTIMATIVA DE HORAS TÉCNICAS'!P589*'ESTIMATIVA DE HORAS TÉCNICAS'!$F$947+'ESTIMATIVA DE HORAS TÉCNICAS'!Q589*'ESTIMATIVA DE HORAS TÉCNICAS'!F$953+'ESTIMATIVA DE HORAS TÉCNICAS'!R589*'ESTIMATIVA DE HORAS TÉCNICAS'!F$954</f>
        <v>12223.893904373683</v>
      </c>
      <c r="E581" s="411">
        <f>'CALCULO DO FATO K'!D$10</f>
        <v>2.3175723620309046</v>
      </c>
      <c r="F581" s="714"/>
      <c r="G581" s="714"/>
      <c r="H581" s="411">
        <f t="shared" si="33"/>
        <v>28329.758669174491</v>
      </c>
      <c r="I581" s="416"/>
      <c r="J581" s="767"/>
    </row>
    <row r="582" spans="1:10" ht="15.75">
      <c r="A582" s="426" t="s">
        <v>581</v>
      </c>
      <c r="B582" s="768" t="s">
        <v>308</v>
      </c>
      <c r="C582" s="409"/>
      <c r="D582" s="787">
        <f>'ESTIMATIVA DE HORAS TÉCNICAS'!F590*'ESTIMATIVA DE HORAS TÉCNICAS'!F$943+'ESTIMATIVA DE HORAS TÉCNICAS'!G590*'ESTIMATIVA DE HORAS TÉCNICAS'!F$942+'ESTIMATIVA DE HORAS TÉCNICAS'!H590*'ESTIMATIVA DE HORAS TÉCNICAS'!F$941+'ESTIMATIVA DE HORAS TÉCNICAS'!I590*'ESTIMATIVA DE HORAS TÉCNICAS'!F$945+'ESTIMATIVA DE HORAS TÉCNICAS'!J590*'ESTIMATIVA DE HORAS TÉCNICAS'!F$946+'ESTIMATIVA DE HORAS TÉCNICAS'!K590*'ESTIMATIVA DE HORAS TÉCNICAS'!$F$944+'ESTIMATIVA DE HORAS TÉCNICAS'!L590*'ESTIMATIVA DE HORAS TÉCNICAS'!F$951+'ESTIMATIVA DE HORAS TÉCNICAS'!M590*'ESTIMATIVA DE HORAS TÉCNICAS'!F$950+'ESTIMATIVA DE HORAS TÉCNICAS'!N590*'ESTIMATIVA DE HORAS TÉCNICAS'!F$949+'ESTIMATIVA DE HORAS TÉCNICAS'!O590*'ESTIMATIVA DE HORAS TÉCNICAS'!F$948+'ESTIMATIVA DE HORAS TÉCNICAS'!P590*'ESTIMATIVA DE HORAS TÉCNICAS'!$F$947+'ESTIMATIVA DE HORAS TÉCNICAS'!Q590*'ESTIMATIVA DE HORAS TÉCNICAS'!F$953+'ESTIMATIVA DE HORAS TÉCNICAS'!R590*'ESTIMATIVA DE HORAS TÉCNICAS'!F$954</f>
        <v>6111.9469521868414</v>
      </c>
      <c r="E582" s="411">
        <f>'CALCULO DO FATO K'!D$10</f>
        <v>2.3175723620309046</v>
      </c>
      <c r="F582" s="714"/>
      <c r="G582" s="714"/>
      <c r="H582" s="411">
        <f t="shared" si="33"/>
        <v>14164.879334587245</v>
      </c>
      <c r="I582" s="416"/>
      <c r="J582" s="767"/>
    </row>
    <row r="583" spans="1:10" ht="15.75">
      <c r="A583" s="426" t="s">
        <v>582</v>
      </c>
      <c r="B583" s="768" t="s">
        <v>310</v>
      </c>
      <c r="C583" s="409"/>
      <c r="D583" s="787">
        <f>'ESTIMATIVA DE HORAS TÉCNICAS'!F591*'ESTIMATIVA DE HORAS TÉCNICAS'!F$943+'ESTIMATIVA DE HORAS TÉCNICAS'!G591*'ESTIMATIVA DE HORAS TÉCNICAS'!F$942+'ESTIMATIVA DE HORAS TÉCNICAS'!H591*'ESTIMATIVA DE HORAS TÉCNICAS'!F$941+'ESTIMATIVA DE HORAS TÉCNICAS'!I591*'ESTIMATIVA DE HORAS TÉCNICAS'!F$945+'ESTIMATIVA DE HORAS TÉCNICAS'!J591*'ESTIMATIVA DE HORAS TÉCNICAS'!F$946+'ESTIMATIVA DE HORAS TÉCNICAS'!K591*'ESTIMATIVA DE HORAS TÉCNICAS'!$F$944+'ESTIMATIVA DE HORAS TÉCNICAS'!L591*'ESTIMATIVA DE HORAS TÉCNICAS'!F$951+'ESTIMATIVA DE HORAS TÉCNICAS'!M591*'ESTIMATIVA DE HORAS TÉCNICAS'!F$950+'ESTIMATIVA DE HORAS TÉCNICAS'!N591*'ESTIMATIVA DE HORAS TÉCNICAS'!F$949+'ESTIMATIVA DE HORAS TÉCNICAS'!O591*'ESTIMATIVA DE HORAS TÉCNICAS'!F$948+'ESTIMATIVA DE HORAS TÉCNICAS'!P591*'ESTIMATIVA DE HORAS TÉCNICAS'!$F$947+'ESTIMATIVA DE HORAS TÉCNICAS'!Q591*'ESTIMATIVA DE HORAS TÉCNICAS'!F$953+'ESTIMATIVA DE HORAS TÉCNICAS'!R591*'ESTIMATIVA DE HORAS TÉCNICAS'!F$954</f>
        <v>6111.9469521868414</v>
      </c>
      <c r="E583" s="411">
        <f>'CALCULO DO FATO K'!D$10</f>
        <v>2.3175723620309046</v>
      </c>
      <c r="F583" s="714"/>
      <c r="G583" s="714"/>
      <c r="H583" s="411">
        <f t="shared" si="33"/>
        <v>14164.879334587245</v>
      </c>
      <c r="I583" s="416"/>
      <c r="J583" s="767"/>
    </row>
    <row r="584" spans="1:10" ht="31.5">
      <c r="A584" s="426" t="s">
        <v>583</v>
      </c>
      <c r="B584" s="656" t="s">
        <v>584</v>
      </c>
      <c r="C584" s="409"/>
      <c r="D584" s="787">
        <f>'ESTIMATIVA DE HORAS TÉCNICAS'!F592*'ESTIMATIVA DE HORAS TÉCNICAS'!F$943+'ESTIMATIVA DE HORAS TÉCNICAS'!G592*'ESTIMATIVA DE HORAS TÉCNICAS'!F$942+'ESTIMATIVA DE HORAS TÉCNICAS'!H592*'ESTIMATIVA DE HORAS TÉCNICAS'!F$941+'ESTIMATIVA DE HORAS TÉCNICAS'!I592*'ESTIMATIVA DE HORAS TÉCNICAS'!F$945+'ESTIMATIVA DE HORAS TÉCNICAS'!J592*'ESTIMATIVA DE HORAS TÉCNICAS'!F$946+'ESTIMATIVA DE HORAS TÉCNICAS'!K592*'ESTIMATIVA DE HORAS TÉCNICAS'!$F$944+'ESTIMATIVA DE HORAS TÉCNICAS'!L592*'ESTIMATIVA DE HORAS TÉCNICAS'!F$951+'ESTIMATIVA DE HORAS TÉCNICAS'!M592*'ESTIMATIVA DE HORAS TÉCNICAS'!F$950+'ESTIMATIVA DE HORAS TÉCNICAS'!N592*'ESTIMATIVA DE HORAS TÉCNICAS'!F$949+'ESTIMATIVA DE HORAS TÉCNICAS'!O592*'ESTIMATIVA DE HORAS TÉCNICAS'!F$948+'ESTIMATIVA DE HORAS TÉCNICAS'!P592*'ESTIMATIVA DE HORAS TÉCNICAS'!$F$947+'ESTIMATIVA DE HORAS TÉCNICAS'!Q592*'ESTIMATIVA DE HORAS TÉCNICAS'!F$953+'ESTIMATIVA DE HORAS TÉCNICAS'!R592*'ESTIMATIVA DE HORAS TÉCNICAS'!F$954</f>
        <v>12223.893904373683</v>
      </c>
      <c r="E584" s="411">
        <f>'CALCULO DO FATO K'!D$10</f>
        <v>2.3175723620309046</v>
      </c>
      <c r="F584" s="714"/>
      <c r="G584" s="714"/>
      <c r="H584" s="411">
        <f t="shared" si="33"/>
        <v>28329.758669174491</v>
      </c>
      <c r="I584" s="416"/>
      <c r="J584" s="767"/>
    </row>
    <row r="585" spans="1:10" s="387" customFormat="1" ht="15.75">
      <c r="A585" s="426" t="s">
        <v>585</v>
      </c>
      <c r="B585" s="768" t="s">
        <v>314</v>
      </c>
      <c r="C585" s="409"/>
      <c r="D585" s="787">
        <f>'ESTIMATIVA DE HORAS TÉCNICAS'!F593*'ESTIMATIVA DE HORAS TÉCNICAS'!F$943+'ESTIMATIVA DE HORAS TÉCNICAS'!G593*'ESTIMATIVA DE HORAS TÉCNICAS'!F$942+'ESTIMATIVA DE HORAS TÉCNICAS'!H593*'ESTIMATIVA DE HORAS TÉCNICAS'!F$941+'ESTIMATIVA DE HORAS TÉCNICAS'!I593*'ESTIMATIVA DE HORAS TÉCNICAS'!F$945+'ESTIMATIVA DE HORAS TÉCNICAS'!J593*'ESTIMATIVA DE HORAS TÉCNICAS'!F$946+'ESTIMATIVA DE HORAS TÉCNICAS'!K593*'ESTIMATIVA DE HORAS TÉCNICAS'!$F$944+'ESTIMATIVA DE HORAS TÉCNICAS'!L593*'ESTIMATIVA DE HORAS TÉCNICAS'!F$951+'ESTIMATIVA DE HORAS TÉCNICAS'!M593*'ESTIMATIVA DE HORAS TÉCNICAS'!F$950+'ESTIMATIVA DE HORAS TÉCNICAS'!N593*'ESTIMATIVA DE HORAS TÉCNICAS'!F$949+'ESTIMATIVA DE HORAS TÉCNICAS'!O593*'ESTIMATIVA DE HORAS TÉCNICAS'!F$948+'ESTIMATIVA DE HORAS TÉCNICAS'!P593*'ESTIMATIVA DE HORAS TÉCNICAS'!$F$947+'ESTIMATIVA DE HORAS TÉCNICAS'!Q593*'ESTIMATIVA DE HORAS TÉCNICAS'!F$953+'ESTIMATIVA DE HORAS TÉCNICAS'!R593*'ESTIMATIVA DE HORAS TÉCNICAS'!F$954</f>
        <v>12223.893904373683</v>
      </c>
      <c r="E585" s="411">
        <f>'CALCULO DO FATO K'!D$10</f>
        <v>2.3175723620309046</v>
      </c>
      <c r="F585" s="714"/>
      <c r="G585" s="714"/>
      <c r="H585" s="411">
        <f>D585*E585</f>
        <v>28329.758669174491</v>
      </c>
      <c r="I585" s="416"/>
      <c r="J585" s="767"/>
    </row>
    <row r="586" spans="1:10" s="766" customFormat="1" ht="15.75">
      <c r="A586" s="426" t="s">
        <v>586</v>
      </c>
      <c r="B586" s="768" t="s">
        <v>93</v>
      </c>
      <c r="C586" s="467"/>
      <c r="D586" s="792"/>
      <c r="E586" s="771"/>
      <c r="F586" s="770">
        <f>'OUTROS CUSTOS DIRETOS'!F31</f>
        <v>6509.6500000000005</v>
      </c>
      <c r="G586" s="770">
        <f>'CALCULO DO FATO K'!$D$11</f>
        <v>1.2004415011037526</v>
      </c>
      <c r="H586" s="770">
        <f>F586*G586</f>
        <v>7814.454017660044</v>
      </c>
      <c r="I586" s="394">
        <f>SUM(H578:H586)</f>
        <v>291112.04070940497</v>
      </c>
      <c r="J586" s="767"/>
    </row>
    <row r="587" spans="1:10" ht="15.75">
      <c r="A587" s="426"/>
      <c r="B587" s="91"/>
      <c r="C587" s="409"/>
      <c r="D587" s="787"/>
      <c r="E587" s="714"/>
      <c r="F587" s="714"/>
      <c r="G587" s="714"/>
      <c r="H587" s="714"/>
      <c r="I587" s="416"/>
      <c r="J587" s="767"/>
    </row>
    <row r="588" spans="1:10" ht="15.75">
      <c r="A588" s="851" t="s">
        <v>587</v>
      </c>
      <c r="B588" s="482" t="s">
        <v>588</v>
      </c>
      <c r="C588" s="309"/>
      <c r="D588" s="793"/>
      <c r="E588" s="484"/>
      <c r="F588" s="484"/>
      <c r="G588" s="484"/>
      <c r="H588" s="484"/>
      <c r="I588" s="310"/>
      <c r="J588" s="767"/>
    </row>
    <row r="589" spans="1:10" ht="15.75">
      <c r="A589" s="426"/>
      <c r="B589" s="91"/>
      <c r="C589" s="409"/>
      <c r="D589" s="787"/>
      <c r="E589" s="714"/>
      <c r="F589" s="714"/>
      <c r="G589" s="714"/>
      <c r="H589" s="714"/>
      <c r="I589" s="416"/>
      <c r="J589" s="767"/>
    </row>
    <row r="590" spans="1:10" ht="15.75">
      <c r="A590" s="391" t="s">
        <v>589</v>
      </c>
      <c r="B590" s="427" t="s">
        <v>97</v>
      </c>
      <c r="C590" s="474"/>
      <c r="D590" s="794"/>
      <c r="E590" s="475"/>
      <c r="F590" s="475"/>
      <c r="G590" s="475"/>
      <c r="H590" s="475"/>
      <c r="I590" s="476"/>
      <c r="J590" s="767"/>
    </row>
    <row r="591" spans="1:10" ht="15.75">
      <c r="A591" s="426" t="s">
        <v>590</v>
      </c>
      <c r="B591" s="428" t="s">
        <v>326</v>
      </c>
      <c r="C591" s="409"/>
      <c r="D591" s="787">
        <f>'ESTIMATIVA DE HORAS TÉCNICAS'!F599*'ESTIMATIVA DE HORAS TÉCNICAS'!F$943+'ESTIMATIVA DE HORAS TÉCNICAS'!G599*'ESTIMATIVA DE HORAS TÉCNICAS'!F$942+'ESTIMATIVA DE HORAS TÉCNICAS'!H599*'ESTIMATIVA DE HORAS TÉCNICAS'!F$941+'ESTIMATIVA DE HORAS TÉCNICAS'!I599*'ESTIMATIVA DE HORAS TÉCNICAS'!F$945+'ESTIMATIVA DE HORAS TÉCNICAS'!J599*'ESTIMATIVA DE HORAS TÉCNICAS'!F$946+'ESTIMATIVA DE HORAS TÉCNICAS'!K599*'ESTIMATIVA DE HORAS TÉCNICAS'!$F$944+'ESTIMATIVA DE HORAS TÉCNICAS'!L599*'ESTIMATIVA DE HORAS TÉCNICAS'!F$951+'ESTIMATIVA DE HORAS TÉCNICAS'!M599*'ESTIMATIVA DE HORAS TÉCNICAS'!F$950+'ESTIMATIVA DE HORAS TÉCNICAS'!N599*'ESTIMATIVA DE HORAS TÉCNICAS'!F$949+'ESTIMATIVA DE HORAS TÉCNICAS'!O599*'ESTIMATIVA DE HORAS TÉCNICAS'!F$948+'ESTIMATIVA DE HORAS TÉCNICAS'!P599*'ESTIMATIVA DE HORAS TÉCNICAS'!$F$947+'ESTIMATIVA DE HORAS TÉCNICAS'!Q599*'ESTIMATIVA DE HORAS TÉCNICAS'!F$953+'ESTIMATIVA DE HORAS TÉCNICAS'!R599*'ESTIMATIVA DE HORAS TÉCNICAS'!F$954</f>
        <v>15631.606111385438</v>
      </c>
      <c r="E591" s="411">
        <f>'CALCULO DO FATO K'!D$10</f>
        <v>2.3175723620309046</v>
      </c>
      <c r="F591" s="714"/>
      <c r="G591" s="714"/>
      <c r="H591" s="411">
        <f>D591*E591</f>
        <v>36227.378297900272</v>
      </c>
      <c r="I591" s="416"/>
      <c r="J591" s="767"/>
    </row>
    <row r="592" spans="1:10" ht="15.75">
      <c r="A592" s="426" t="s">
        <v>591</v>
      </c>
      <c r="B592" s="768" t="s">
        <v>135</v>
      </c>
      <c r="C592" s="409"/>
      <c r="D592" s="787">
        <f>'ESTIMATIVA DE HORAS TÉCNICAS'!F600*'ESTIMATIVA DE HORAS TÉCNICAS'!F$943+'ESTIMATIVA DE HORAS TÉCNICAS'!G600*'ESTIMATIVA DE HORAS TÉCNICAS'!F$942+'ESTIMATIVA DE HORAS TÉCNICAS'!H600*'ESTIMATIVA DE HORAS TÉCNICAS'!F$941+'ESTIMATIVA DE HORAS TÉCNICAS'!I600*'ESTIMATIVA DE HORAS TÉCNICAS'!F$945+'ESTIMATIVA DE HORAS TÉCNICAS'!J600*'ESTIMATIVA DE HORAS TÉCNICAS'!F$946+'ESTIMATIVA DE HORAS TÉCNICAS'!K600*'ESTIMATIVA DE HORAS TÉCNICAS'!$F$944+'ESTIMATIVA DE HORAS TÉCNICAS'!L600*'ESTIMATIVA DE HORAS TÉCNICAS'!F$951+'ESTIMATIVA DE HORAS TÉCNICAS'!M600*'ESTIMATIVA DE HORAS TÉCNICAS'!F$950+'ESTIMATIVA DE HORAS TÉCNICAS'!N600*'ESTIMATIVA DE HORAS TÉCNICAS'!F$949+'ESTIMATIVA DE HORAS TÉCNICAS'!O600*'ESTIMATIVA DE HORAS TÉCNICAS'!F$948+'ESTIMATIVA DE HORAS TÉCNICAS'!P600*'ESTIMATIVA DE HORAS TÉCNICAS'!$F$947+'ESTIMATIVA DE HORAS TÉCNICAS'!Q600*'ESTIMATIVA DE HORAS TÉCNICAS'!F$953+'ESTIMATIVA DE HORAS TÉCNICAS'!R600*'ESTIMATIVA DE HORAS TÉCNICAS'!F$954</f>
        <v>7815.8030556927188</v>
      </c>
      <c r="E592" s="411">
        <f>'CALCULO DO FATO K'!D$10</f>
        <v>2.3175723620309046</v>
      </c>
      <c r="F592" s="714"/>
      <c r="G592" s="714"/>
      <c r="H592" s="411">
        <f t="shared" ref="H592:H597" si="34">D592*E592</f>
        <v>18113.689148950136</v>
      </c>
      <c r="I592" s="416"/>
      <c r="J592" s="767"/>
    </row>
    <row r="593" spans="1:10" s="403" customFormat="1" ht="15.75">
      <c r="A593" s="426" t="s">
        <v>592</v>
      </c>
      <c r="B593" s="768" t="s">
        <v>103</v>
      </c>
      <c r="C593" s="409"/>
      <c r="D593" s="787">
        <f>'ESTIMATIVA DE HORAS TÉCNICAS'!F601*'ESTIMATIVA DE HORAS TÉCNICAS'!F$943+'ESTIMATIVA DE HORAS TÉCNICAS'!G601*'ESTIMATIVA DE HORAS TÉCNICAS'!F$942+'ESTIMATIVA DE HORAS TÉCNICAS'!H601*'ESTIMATIVA DE HORAS TÉCNICAS'!F$941+'ESTIMATIVA DE HORAS TÉCNICAS'!I601*'ESTIMATIVA DE HORAS TÉCNICAS'!F$945+'ESTIMATIVA DE HORAS TÉCNICAS'!J601*'ESTIMATIVA DE HORAS TÉCNICAS'!F$946+'ESTIMATIVA DE HORAS TÉCNICAS'!K601*'ESTIMATIVA DE HORAS TÉCNICAS'!$F$944+'ESTIMATIVA DE HORAS TÉCNICAS'!L601*'ESTIMATIVA DE HORAS TÉCNICAS'!F$951+'ESTIMATIVA DE HORAS TÉCNICAS'!M601*'ESTIMATIVA DE HORAS TÉCNICAS'!F$950+'ESTIMATIVA DE HORAS TÉCNICAS'!N601*'ESTIMATIVA DE HORAS TÉCNICAS'!F$949+'ESTIMATIVA DE HORAS TÉCNICAS'!O601*'ESTIMATIVA DE HORAS TÉCNICAS'!F$948+'ESTIMATIVA DE HORAS TÉCNICAS'!P601*'ESTIMATIVA DE HORAS TÉCNICAS'!$F$947+'ESTIMATIVA DE HORAS TÉCNICAS'!Q601*'ESTIMATIVA DE HORAS TÉCNICAS'!F$953+'ESTIMATIVA DE HORAS TÉCNICAS'!R601*'ESTIMATIVA DE HORAS TÉCNICAS'!F$954</f>
        <v>15631.606111385438</v>
      </c>
      <c r="E593" s="411">
        <f>'CALCULO DO FATO K'!D$10</f>
        <v>2.3175723620309046</v>
      </c>
      <c r="F593" s="714"/>
      <c r="G593" s="714"/>
      <c r="H593" s="411">
        <f t="shared" si="34"/>
        <v>36227.378297900272</v>
      </c>
      <c r="I593" s="416"/>
      <c r="J593" s="767"/>
    </row>
    <row r="594" spans="1:10" ht="15.75">
      <c r="A594" s="426" t="s">
        <v>593</v>
      </c>
      <c r="B594" s="768" t="s">
        <v>105</v>
      </c>
      <c r="C594" s="409"/>
      <c r="D594" s="787">
        <f>'ESTIMATIVA DE HORAS TÉCNICAS'!F602*'ESTIMATIVA DE HORAS TÉCNICAS'!F$943+'ESTIMATIVA DE HORAS TÉCNICAS'!G602*'ESTIMATIVA DE HORAS TÉCNICAS'!F$942+'ESTIMATIVA DE HORAS TÉCNICAS'!H602*'ESTIMATIVA DE HORAS TÉCNICAS'!F$941+'ESTIMATIVA DE HORAS TÉCNICAS'!I602*'ESTIMATIVA DE HORAS TÉCNICAS'!F$945+'ESTIMATIVA DE HORAS TÉCNICAS'!J602*'ESTIMATIVA DE HORAS TÉCNICAS'!F$946+'ESTIMATIVA DE HORAS TÉCNICAS'!K602*'ESTIMATIVA DE HORAS TÉCNICAS'!$F$944+'ESTIMATIVA DE HORAS TÉCNICAS'!L602*'ESTIMATIVA DE HORAS TÉCNICAS'!F$951+'ESTIMATIVA DE HORAS TÉCNICAS'!M602*'ESTIMATIVA DE HORAS TÉCNICAS'!F$950+'ESTIMATIVA DE HORAS TÉCNICAS'!N602*'ESTIMATIVA DE HORAS TÉCNICAS'!F$949+'ESTIMATIVA DE HORAS TÉCNICAS'!O602*'ESTIMATIVA DE HORAS TÉCNICAS'!F$948+'ESTIMATIVA DE HORAS TÉCNICAS'!P602*'ESTIMATIVA DE HORAS TÉCNICAS'!$F$947+'ESTIMATIVA DE HORAS TÉCNICAS'!Q602*'ESTIMATIVA DE HORAS TÉCNICAS'!F$953+'ESTIMATIVA DE HORAS TÉCNICAS'!R602*'ESTIMATIVA DE HORAS TÉCNICAS'!F$954</f>
        <v>13759.035022010234</v>
      </c>
      <c r="E594" s="411">
        <f>'CALCULO DO FATO K'!D$10</f>
        <v>2.3175723620309046</v>
      </c>
      <c r="F594" s="714"/>
      <c r="G594" s="714"/>
      <c r="H594" s="411">
        <f t="shared" si="34"/>
        <v>31887.559295226198</v>
      </c>
      <c r="I594" s="416"/>
      <c r="J594" s="767"/>
    </row>
    <row r="595" spans="1:10" ht="15.75">
      <c r="A595" s="426" t="s">
        <v>594</v>
      </c>
      <c r="B595" s="768" t="s">
        <v>595</v>
      </c>
      <c r="C595" s="409"/>
      <c r="D595" s="787">
        <f>'ESTIMATIVA DE HORAS TÉCNICAS'!F603*'ESTIMATIVA DE HORAS TÉCNICAS'!F$943+'ESTIMATIVA DE HORAS TÉCNICAS'!G603*'ESTIMATIVA DE HORAS TÉCNICAS'!F$942+'ESTIMATIVA DE HORAS TÉCNICAS'!H603*'ESTIMATIVA DE HORAS TÉCNICAS'!F$941+'ESTIMATIVA DE HORAS TÉCNICAS'!I603*'ESTIMATIVA DE HORAS TÉCNICAS'!F$945+'ESTIMATIVA DE HORAS TÉCNICAS'!J603*'ESTIMATIVA DE HORAS TÉCNICAS'!F$946+'ESTIMATIVA DE HORAS TÉCNICAS'!K603*'ESTIMATIVA DE HORAS TÉCNICAS'!$F$944+'ESTIMATIVA DE HORAS TÉCNICAS'!L603*'ESTIMATIVA DE HORAS TÉCNICAS'!F$951+'ESTIMATIVA DE HORAS TÉCNICAS'!M603*'ESTIMATIVA DE HORAS TÉCNICAS'!F$950+'ESTIMATIVA DE HORAS TÉCNICAS'!N603*'ESTIMATIVA DE HORAS TÉCNICAS'!F$949+'ESTIMATIVA DE HORAS TÉCNICAS'!O603*'ESTIMATIVA DE HORAS TÉCNICAS'!F$948+'ESTIMATIVA DE HORAS TÉCNICAS'!P603*'ESTIMATIVA DE HORAS TÉCNICAS'!$F$947+'ESTIMATIVA DE HORAS TÉCNICAS'!Q603*'ESTIMATIVA DE HORAS TÉCNICAS'!F$953+'ESTIMATIVA DE HORAS TÉCNICAS'!R603*'ESTIMATIVA DE HORAS TÉCNICAS'!F$954</f>
        <v>15631.606111385438</v>
      </c>
      <c r="E595" s="411">
        <f>'CALCULO DO FATO K'!D$10</f>
        <v>2.3175723620309046</v>
      </c>
      <c r="F595" s="714"/>
      <c r="G595" s="714"/>
      <c r="H595" s="411">
        <f t="shared" si="34"/>
        <v>36227.378297900272</v>
      </c>
      <c r="I595" s="416"/>
      <c r="J595" s="767"/>
    </row>
    <row r="596" spans="1:10" ht="15.75">
      <c r="A596" s="426" t="s">
        <v>596</v>
      </c>
      <c r="B596" s="768" t="s">
        <v>597</v>
      </c>
      <c r="C596" s="409"/>
      <c r="D596" s="787">
        <f>'ESTIMATIVA DE HORAS TÉCNICAS'!F604*'ESTIMATIVA DE HORAS TÉCNICAS'!F$943+'ESTIMATIVA DE HORAS TÉCNICAS'!G604*'ESTIMATIVA DE HORAS TÉCNICAS'!F$942+'ESTIMATIVA DE HORAS TÉCNICAS'!H604*'ESTIMATIVA DE HORAS TÉCNICAS'!F$941+'ESTIMATIVA DE HORAS TÉCNICAS'!I604*'ESTIMATIVA DE HORAS TÉCNICAS'!F$945+'ESTIMATIVA DE HORAS TÉCNICAS'!J604*'ESTIMATIVA DE HORAS TÉCNICAS'!F$946+'ESTIMATIVA DE HORAS TÉCNICAS'!K604*'ESTIMATIVA DE HORAS TÉCNICAS'!$F$944+'ESTIMATIVA DE HORAS TÉCNICAS'!L604*'ESTIMATIVA DE HORAS TÉCNICAS'!F$951+'ESTIMATIVA DE HORAS TÉCNICAS'!M604*'ESTIMATIVA DE HORAS TÉCNICAS'!F$950+'ESTIMATIVA DE HORAS TÉCNICAS'!N604*'ESTIMATIVA DE HORAS TÉCNICAS'!F$949+'ESTIMATIVA DE HORAS TÉCNICAS'!O604*'ESTIMATIVA DE HORAS TÉCNICAS'!F$948+'ESTIMATIVA DE HORAS TÉCNICAS'!P604*'ESTIMATIVA DE HORAS TÉCNICAS'!$F$947+'ESTIMATIVA DE HORAS TÉCNICAS'!Q604*'ESTIMATIVA DE HORAS TÉCNICAS'!F$953+'ESTIMATIVA DE HORAS TÉCNICAS'!R604*'ESTIMATIVA DE HORAS TÉCNICAS'!F$954</f>
        <v>1872.5710893752039</v>
      </c>
      <c r="E596" s="411">
        <f>'CALCULO DO FATO K'!D$10</f>
        <v>2.3175723620309046</v>
      </c>
      <c r="F596" s="714"/>
      <c r="G596" s="714"/>
      <c r="H596" s="411">
        <f t="shared" si="34"/>
        <v>4339.8190026740749</v>
      </c>
      <c r="I596" s="416"/>
      <c r="J596" s="767"/>
    </row>
    <row r="597" spans="1:10" ht="15.75">
      <c r="A597" s="426" t="s">
        <v>598</v>
      </c>
      <c r="B597" s="768" t="s">
        <v>150</v>
      </c>
      <c r="C597" s="409"/>
      <c r="D597" s="787">
        <f>'ESTIMATIVA DE HORAS TÉCNICAS'!F605*'ESTIMATIVA DE HORAS TÉCNICAS'!F$943+'ESTIMATIVA DE HORAS TÉCNICAS'!G605*'ESTIMATIVA DE HORAS TÉCNICAS'!F$942+'ESTIMATIVA DE HORAS TÉCNICAS'!H605*'ESTIMATIVA DE HORAS TÉCNICAS'!F$941+'ESTIMATIVA DE HORAS TÉCNICAS'!I605*'ESTIMATIVA DE HORAS TÉCNICAS'!F$945+'ESTIMATIVA DE HORAS TÉCNICAS'!J605*'ESTIMATIVA DE HORAS TÉCNICAS'!F$946+'ESTIMATIVA DE HORAS TÉCNICAS'!K605*'ESTIMATIVA DE HORAS TÉCNICAS'!$F$944+'ESTIMATIVA DE HORAS TÉCNICAS'!L605*'ESTIMATIVA DE HORAS TÉCNICAS'!F$951+'ESTIMATIVA DE HORAS TÉCNICAS'!M605*'ESTIMATIVA DE HORAS TÉCNICAS'!F$950+'ESTIMATIVA DE HORAS TÉCNICAS'!N605*'ESTIMATIVA DE HORAS TÉCNICAS'!F$949+'ESTIMATIVA DE HORAS TÉCNICAS'!O605*'ESTIMATIVA DE HORAS TÉCNICAS'!F$948+'ESTIMATIVA DE HORAS TÉCNICAS'!P605*'ESTIMATIVA DE HORAS TÉCNICAS'!$F$947+'ESTIMATIVA DE HORAS TÉCNICAS'!Q605*'ESTIMATIVA DE HORAS TÉCNICAS'!F$953+'ESTIMATIVA DE HORAS TÉCNICAS'!R605*'ESTIMATIVA DE HORAS TÉCNICAS'!F$954</f>
        <v>7815.8030556927188</v>
      </c>
      <c r="E597" s="411">
        <f>'CALCULO DO FATO K'!D$10</f>
        <v>2.3175723620309046</v>
      </c>
      <c r="F597" s="714"/>
      <c r="G597" s="714"/>
      <c r="H597" s="411">
        <f t="shared" si="34"/>
        <v>18113.689148950136</v>
      </c>
      <c r="I597" s="416">
        <f>SUM(H591:H597)</f>
        <v>181136.89148950134</v>
      </c>
      <c r="J597" s="767"/>
    </row>
    <row r="598" spans="1:10" s="532" customFormat="1" ht="15.75">
      <c r="A598" s="426"/>
      <c r="B598" s="768"/>
      <c r="C598" s="409"/>
      <c r="D598" s="787"/>
      <c r="E598" s="411"/>
      <c r="F598" s="714"/>
      <c r="G598" s="714"/>
      <c r="H598" s="411"/>
      <c r="I598" s="416"/>
      <c r="J598" s="767"/>
    </row>
    <row r="599" spans="1:10" s="318" customFormat="1" ht="15.75">
      <c r="A599" s="426"/>
      <c r="B599" s="768"/>
      <c r="C599" s="409"/>
      <c r="D599" s="787"/>
      <c r="E599" s="411"/>
      <c r="F599" s="714"/>
      <c r="G599" s="714"/>
      <c r="H599" s="411"/>
      <c r="I599" s="416"/>
      <c r="J599" s="767"/>
    </row>
    <row r="600" spans="1:10" ht="15.75">
      <c r="A600" s="391" t="s">
        <v>599</v>
      </c>
      <c r="B600" s="427" t="s">
        <v>118</v>
      </c>
      <c r="C600" s="474"/>
      <c r="D600" s="796"/>
      <c r="E600" s="475"/>
      <c r="F600" s="475"/>
      <c r="G600" s="475"/>
      <c r="H600" s="475"/>
      <c r="I600" s="476"/>
      <c r="J600" s="767"/>
    </row>
    <row r="601" spans="1:10" ht="15.75">
      <c r="A601" s="426" t="s">
        <v>600</v>
      </c>
      <c r="B601" s="428" t="s">
        <v>326</v>
      </c>
      <c r="C601" s="409"/>
      <c r="D601" s="787">
        <f>'ESTIMATIVA DE HORAS TÉCNICAS'!F609*'ESTIMATIVA DE HORAS TÉCNICAS'!F$943+'ESTIMATIVA DE HORAS TÉCNICAS'!G609*'ESTIMATIVA DE HORAS TÉCNICAS'!F$942+'ESTIMATIVA DE HORAS TÉCNICAS'!H609*'ESTIMATIVA DE HORAS TÉCNICAS'!F$941+'ESTIMATIVA DE HORAS TÉCNICAS'!I609*'ESTIMATIVA DE HORAS TÉCNICAS'!F$945+'ESTIMATIVA DE HORAS TÉCNICAS'!J609*'ESTIMATIVA DE HORAS TÉCNICAS'!F$946+'ESTIMATIVA DE HORAS TÉCNICAS'!K609*'ESTIMATIVA DE HORAS TÉCNICAS'!$F$944+'ESTIMATIVA DE HORAS TÉCNICAS'!L609*'ESTIMATIVA DE HORAS TÉCNICAS'!F$951+'ESTIMATIVA DE HORAS TÉCNICAS'!M609*'ESTIMATIVA DE HORAS TÉCNICAS'!F$950+'ESTIMATIVA DE HORAS TÉCNICAS'!N609*'ESTIMATIVA DE HORAS TÉCNICAS'!F$949+'ESTIMATIVA DE HORAS TÉCNICAS'!O609*'ESTIMATIVA DE HORAS TÉCNICAS'!F$948+'ESTIMATIVA DE HORAS TÉCNICAS'!P609*'ESTIMATIVA DE HORAS TÉCNICAS'!$F$947+'ESTIMATIVA DE HORAS TÉCNICAS'!Q609*'ESTIMATIVA DE HORAS TÉCNICAS'!F$953+'ESTIMATIVA DE HORAS TÉCNICAS'!R609*'ESTIMATIVA DE HORAS TÉCNICAS'!F$954</f>
        <v>2777.6672567580349</v>
      </c>
      <c r="E601" s="411">
        <f>'CALCULO DO FATO K'!D$10</f>
        <v>2.3175723620309046</v>
      </c>
      <c r="F601" s="714"/>
      <c r="G601" s="714"/>
      <c r="H601" s="411">
        <f>D601*E601</f>
        <v>6437.4448651806224</v>
      </c>
      <c r="I601" s="416"/>
      <c r="J601" s="767"/>
    </row>
    <row r="602" spans="1:10" ht="15.75">
      <c r="A602" s="426" t="s">
        <v>601</v>
      </c>
      <c r="B602" s="768" t="s">
        <v>135</v>
      </c>
      <c r="C602" s="409"/>
      <c r="D602" s="787">
        <f>'ESTIMATIVA DE HORAS TÉCNICAS'!F610*'ESTIMATIVA DE HORAS TÉCNICAS'!F$943+'ESTIMATIVA DE HORAS TÉCNICAS'!G610*'ESTIMATIVA DE HORAS TÉCNICAS'!F$942+'ESTIMATIVA DE HORAS TÉCNICAS'!H610*'ESTIMATIVA DE HORAS TÉCNICAS'!F$941+'ESTIMATIVA DE HORAS TÉCNICAS'!I610*'ESTIMATIVA DE HORAS TÉCNICAS'!F$945+'ESTIMATIVA DE HORAS TÉCNICAS'!J610*'ESTIMATIVA DE HORAS TÉCNICAS'!F$946+'ESTIMATIVA DE HORAS TÉCNICAS'!K610*'ESTIMATIVA DE HORAS TÉCNICAS'!$F$944+'ESTIMATIVA DE HORAS TÉCNICAS'!L610*'ESTIMATIVA DE HORAS TÉCNICAS'!F$951+'ESTIMATIVA DE HORAS TÉCNICAS'!M610*'ESTIMATIVA DE HORAS TÉCNICAS'!F$950+'ESTIMATIVA DE HORAS TÉCNICAS'!N610*'ESTIMATIVA DE HORAS TÉCNICAS'!F$949+'ESTIMATIVA DE HORAS TÉCNICAS'!O610*'ESTIMATIVA DE HORAS TÉCNICAS'!F$948+'ESTIMATIVA DE HORAS TÉCNICAS'!P610*'ESTIMATIVA DE HORAS TÉCNICAS'!$F$947+'ESTIMATIVA DE HORAS TÉCNICAS'!Q610*'ESTIMATIVA DE HORAS TÉCNICAS'!F$953+'ESTIMATIVA DE HORAS TÉCNICAS'!R610*'ESTIMATIVA DE HORAS TÉCNICAS'!F$954</f>
        <v>1212.2294973892399</v>
      </c>
      <c r="E602" s="411">
        <f>'CALCULO DO FATO K'!D$10</f>
        <v>2.3175723620309046</v>
      </c>
      <c r="F602" s="714"/>
      <c r="G602" s="714"/>
      <c r="H602" s="411">
        <f t="shared" ref="H602:H607" si="35">D602*E602</f>
        <v>2809.429579587917</v>
      </c>
      <c r="I602" s="416"/>
      <c r="J602" s="767"/>
    </row>
    <row r="603" spans="1:10" ht="15.75">
      <c r="A603" s="426" t="s">
        <v>602</v>
      </c>
      <c r="B603" s="768" t="s">
        <v>112</v>
      </c>
      <c r="C603" s="409"/>
      <c r="D603" s="787">
        <f>'ESTIMATIVA DE HORAS TÉCNICAS'!F611*'ESTIMATIVA DE HORAS TÉCNICAS'!F$943+'ESTIMATIVA DE HORAS TÉCNICAS'!G611*'ESTIMATIVA DE HORAS TÉCNICAS'!F$942+'ESTIMATIVA DE HORAS TÉCNICAS'!H611*'ESTIMATIVA DE HORAS TÉCNICAS'!F$941+'ESTIMATIVA DE HORAS TÉCNICAS'!I611*'ESTIMATIVA DE HORAS TÉCNICAS'!F$945+'ESTIMATIVA DE HORAS TÉCNICAS'!J611*'ESTIMATIVA DE HORAS TÉCNICAS'!F$946+'ESTIMATIVA DE HORAS TÉCNICAS'!K611*'ESTIMATIVA DE HORAS TÉCNICAS'!$F$944+'ESTIMATIVA DE HORAS TÉCNICAS'!L611*'ESTIMATIVA DE HORAS TÉCNICAS'!F$951+'ESTIMATIVA DE HORAS TÉCNICAS'!M611*'ESTIMATIVA DE HORAS TÉCNICAS'!F$950+'ESTIMATIVA DE HORAS TÉCNICAS'!N611*'ESTIMATIVA DE HORAS TÉCNICAS'!F$949+'ESTIMATIVA DE HORAS TÉCNICAS'!O611*'ESTIMATIVA DE HORAS TÉCNICAS'!F$948+'ESTIMATIVA DE HORAS TÉCNICAS'!P611*'ESTIMATIVA DE HORAS TÉCNICAS'!$F$947+'ESTIMATIVA DE HORAS TÉCNICAS'!Q611*'ESTIMATIVA DE HORAS TÉCNICAS'!F$953+'ESTIMATIVA DE HORAS TÉCNICAS'!R611*'ESTIMATIVA DE HORAS TÉCNICAS'!F$954</f>
        <v>2071.2507327989247</v>
      </c>
      <c r="E603" s="411">
        <f>'CALCULO DO FATO K'!D$10</f>
        <v>2.3175723620309046</v>
      </c>
      <c r="F603" s="714"/>
      <c r="G603" s="714"/>
      <c r="H603" s="411">
        <f t="shared" si="35"/>
        <v>4800.2734531710457</v>
      </c>
      <c r="I603" s="416"/>
      <c r="J603" s="767"/>
    </row>
    <row r="604" spans="1:10" ht="15.75">
      <c r="A604" s="426" t="s">
        <v>603</v>
      </c>
      <c r="B604" s="768" t="s">
        <v>105</v>
      </c>
      <c r="C604" s="409"/>
      <c r="D604" s="787">
        <f>'ESTIMATIVA DE HORAS TÉCNICAS'!F612*'ESTIMATIVA DE HORAS TÉCNICAS'!F$943+'ESTIMATIVA DE HORAS TÉCNICAS'!G612*'ESTIMATIVA DE HORAS TÉCNICAS'!F$942+'ESTIMATIVA DE HORAS TÉCNICAS'!H612*'ESTIMATIVA DE HORAS TÉCNICAS'!F$941+'ESTIMATIVA DE HORAS TÉCNICAS'!I612*'ESTIMATIVA DE HORAS TÉCNICAS'!F$945+'ESTIMATIVA DE HORAS TÉCNICAS'!J612*'ESTIMATIVA DE HORAS TÉCNICAS'!F$946+'ESTIMATIVA DE HORAS TÉCNICAS'!K612*'ESTIMATIVA DE HORAS TÉCNICAS'!$F$944+'ESTIMATIVA DE HORAS TÉCNICAS'!L612*'ESTIMATIVA DE HORAS TÉCNICAS'!F$951+'ESTIMATIVA DE HORAS TÉCNICAS'!M612*'ESTIMATIVA DE HORAS TÉCNICAS'!F$950+'ESTIMATIVA DE HORAS TÉCNICAS'!N612*'ESTIMATIVA DE HORAS TÉCNICAS'!F$949+'ESTIMATIVA DE HORAS TÉCNICAS'!O612*'ESTIMATIVA DE HORAS TÉCNICAS'!F$948+'ESTIMATIVA DE HORAS TÉCNICAS'!P612*'ESTIMATIVA DE HORAS TÉCNICAS'!$F$947+'ESTIMATIVA DE HORAS TÉCNICAS'!Q612*'ESTIMATIVA DE HORAS TÉCNICAS'!F$953+'ESTIMATIVA DE HORAS TÉCNICAS'!R612*'ESTIMATIVA DE HORAS TÉCNICAS'!F$954</f>
        <v>2247.854863788702</v>
      </c>
      <c r="E604" s="411">
        <f>'CALCULO DO FATO K'!D$10</f>
        <v>2.3175723620309046</v>
      </c>
      <c r="F604" s="714"/>
      <c r="G604" s="714"/>
      <c r="H604" s="411">
        <f t="shared" si="35"/>
        <v>5209.5663061734394</v>
      </c>
      <c r="I604" s="416"/>
      <c r="J604" s="767"/>
    </row>
    <row r="605" spans="1:10" ht="15.75">
      <c r="A605" s="426" t="s">
        <v>604</v>
      </c>
      <c r="B605" s="768" t="s">
        <v>595</v>
      </c>
      <c r="C605" s="409"/>
      <c r="D605" s="787">
        <f>'ESTIMATIVA DE HORAS TÉCNICAS'!F613*'ESTIMATIVA DE HORAS TÉCNICAS'!F$943+'ESTIMATIVA DE HORAS TÉCNICAS'!G613*'ESTIMATIVA DE HORAS TÉCNICAS'!F$942+'ESTIMATIVA DE HORAS TÉCNICAS'!H613*'ESTIMATIVA DE HORAS TÉCNICAS'!F$941+'ESTIMATIVA DE HORAS TÉCNICAS'!I613*'ESTIMATIVA DE HORAS TÉCNICAS'!F$945+'ESTIMATIVA DE HORAS TÉCNICAS'!J613*'ESTIMATIVA DE HORAS TÉCNICAS'!F$946+'ESTIMATIVA DE HORAS TÉCNICAS'!K613*'ESTIMATIVA DE HORAS TÉCNICAS'!$F$944+'ESTIMATIVA DE HORAS TÉCNICAS'!L613*'ESTIMATIVA DE HORAS TÉCNICAS'!F$951+'ESTIMATIVA DE HORAS TÉCNICAS'!M613*'ESTIMATIVA DE HORAS TÉCNICAS'!F$950+'ESTIMATIVA DE HORAS TÉCNICAS'!N613*'ESTIMATIVA DE HORAS TÉCNICAS'!F$949+'ESTIMATIVA DE HORAS TÉCNICAS'!O613*'ESTIMATIVA DE HORAS TÉCNICAS'!F$948+'ESTIMATIVA DE HORAS TÉCNICAS'!P613*'ESTIMATIVA DE HORAS TÉCNICAS'!$F$947+'ESTIMATIVA DE HORAS TÉCNICAS'!Q613*'ESTIMATIVA DE HORAS TÉCNICAS'!F$953+'ESTIMATIVA DE HORAS TÉCNICAS'!R613*'ESTIMATIVA DE HORAS TÉCNICAS'!F$954</f>
        <v>2424.4589947784798</v>
      </c>
      <c r="E605" s="411">
        <f>'CALCULO DO FATO K'!D$10</f>
        <v>2.3175723620309046</v>
      </c>
      <c r="F605" s="714"/>
      <c r="G605" s="714"/>
      <c r="H605" s="411">
        <f t="shared" si="35"/>
        <v>5618.8591591758341</v>
      </c>
      <c r="I605" s="416"/>
      <c r="J605" s="767"/>
    </row>
    <row r="606" spans="1:10" ht="15.75">
      <c r="A606" s="426" t="s">
        <v>605</v>
      </c>
      <c r="B606" s="768" t="s">
        <v>597</v>
      </c>
      <c r="C606" s="409"/>
      <c r="D606" s="787">
        <f>'ESTIMATIVA DE HORAS TÉCNICAS'!F614*'ESTIMATIVA DE HORAS TÉCNICAS'!F$943+'ESTIMATIVA DE HORAS TÉCNICAS'!G614*'ESTIMATIVA DE HORAS TÉCNICAS'!F$942+'ESTIMATIVA DE HORAS TÉCNICAS'!H614*'ESTIMATIVA DE HORAS TÉCNICAS'!F$941+'ESTIMATIVA DE HORAS TÉCNICAS'!I614*'ESTIMATIVA DE HORAS TÉCNICAS'!F$945+'ESTIMATIVA DE HORAS TÉCNICAS'!J614*'ESTIMATIVA DE HORAS TÉCNICAS'!F$946+'ESTIMATIVA DE HORAS TÉCNICAS'!K614*'ESTIMATIVA DE HORAS TÉCNICAS'!$F$944+'ESTIMATIVA DE HORAS TÉCNICAS'!L614*'ESTIMATIVA DE HORAS TÉCNICAS'!F$951+'ESTIMATIVA DE HORAS TÉCNICAS'!M614*'ESTIMATIVA DE HORAS TÉCNICAS'!F$950+'ESTIMATIVA DE HORAS TÉCNICAS'!N614*'ESTIMATIVA DE HORAS TÉCNICAS'!F$949+'ESTIMATIVA DE HORAS TÉCNICAS'!O614*'ESTIMATIVA DE HORAS TÉCNICAS'!F$948+'ESTIMATIVA DE HORAS TÉCNICAS'!P614*'ESTIMATIVA DE HORAS TÉCNICAS'!$F$947+'ESTIMATIVA DE HORAS TÉCNICAS'!Q614*'ESTIMATIVA DE HORAS TÉCNICAS'!F$953+'ESTIMATIVA DE HORAS TÉCNICAS'!R614*'ESTIMATIVA DE HORAS TÉCNICAS'!F$954</f>
        <v>176.60413098977762</v>
      </c>
      <c r="E606" s="411">
        <f>'CALCULO DO FATO K'!D$10</f>
        <v>2.3175723620309046</v>
      </c>
      <c r="F606" s="714"/>
      <c r="G606" s="714"/>
      <c r="H606" s="411">
        <f t="shared" si="35"/>
        <v>409.29285300239417</v>
      </c>
      <c r="I606" s="416"/>
      <c r="J606" s="767"/>
    </row>
    <row r="607" spans="1:10" ht="15.75">
      <c r="A607" s="426" t="s">
        <v>606</v>
      </c>
      <c r="B607" s="768" t="s">
        <v>150</v>
      </c>
      <c r="C607" s="409"/>
      <c r="D607" s="787">
        <f>'ESTIMATIVA DE HORAS TÉCNICAS'!F615*'ESTIMATIVA DE HORAS TÉCNICAS'!F$943+'ESTIMATIVA DE HORAS TÉCNICAS'!G615*'ESTIMATIVA DE HORAS TÉCNICAS'!F$942+'ESTIMATIVA DE HORAS TÉCNICAS'!H615*'ESTIMATIVA DE HORAS TÉCNICAS'!F$941+'ESTIMATIVA DE HORAS TÉCNICAS'!I615*'ESTIMATIVA DE HORAS TÉCNICAS'!F$945+'ESTIMATIVA DE HORAS TÉCNICAS'!J615*'ESTIMATIVA DE HORAS TÉCNICAS'!F$946+'ESTIMATIVA DE HORAS TÉCNICAS'!K615*'ESTIMATIVA DE HORAS TÉCNICAS'!$F$944+'ESTIMATIVA DE HORAS TÉCNICAS'!L615*'ESTIMATIVA DE HORAS TÉCNICAS'!F$951+'ESTIMATIVA DE HORAS TÉCNICAS'!M615*'ESTIMATIVA DE HORAS TÉCNICAS'!F$950+'ESTIMATIVA DE HORAS TÉCNICAS'!N615*'ESTIMATIVA DE HORAS TÉCNICAS'!F$949+'ESTIMATIVA DE HORAS TÉCNICAS'!O615*'ESTIMATIVA DE HORAS TÉCNICAS'!F$948+'ESTIMATIVA DE HORAS TÉCNICAS'!P615*'ESTIMATIVA DE HORAS TÉCNICAS'!$F$947+'ESTIMATIVA DE HORAS TÉCNICAS'!Q615*'ESTIMATIVA DE HORAS TÉCNICAS'!F$953+'ESTIMATIVA DE HORAS TÉCNICAS'!R615*'ESTIMATIVA DE HORAS TÉCNICAS'!F$954</f>
        <v>1212.2294973892399</v>
      </c>
      <c r="E607" s="411">
        <f>'CALCULO DO FATO K'!D$10</f>
        <v>2.3175723620309046</v>
      </c>
      <c r="F607" s="714"/>
      <c r="G607" s="714"/>
      <c r="H607" s="411">
        <f t="shared" si="35"/>
        <v>2809.429579587917</v>
      </c>
      <c r="I607" s="416">
        <f>SUM(H601:H607)</f>
        <v>28094.295795879167</v>
      </c>
      <c r="J607" s="767"/>
    </row>
    <row r="608" spans="1:10" s="532" customFormat="1" ht="15.75">
      <c r="A608" s="426"/>
      <c r="B608" s="768"/>
      <c r="C608" s="409"/>
      <c r="D608" s="787"/>
      <c r="E608" s="411"/>
      <c r="F608" s="714"/>
      <c r="G608" s="714"/>
      <c r="H608" s="411"/>
      <c r="I608" s="416"/>
      <c r="J608" s="767"/>
    </row>
    <row r="609" spans="1:10" s="318" customFormat="1" ht="15.75">
      <c r="A609" s="426"/>
      <c r="B609" s="768"/>
      <c r="C609" s="409"/>
      <c r="D609" s="787"/>
      <c r="E609" s="411"/>
      <c r="F609" s="714"/>
      <c r="G609" s="714"/>
      <c r="H609" s="411"/>
      <c r="I609" s="416"/>
      <c r="J609" s="767"/>
    </row>
    <row r="610" spans="1:10" ht="15.75">
      <c r="A610" s="391" t="s">
        <v>607</v>
      </c>
      <c r="B610" s="427" t="s">
        <v>122</v>
      </c>
      <c r="C610" s="474"/>
      <c r="D610" s="796"/>
      <c r="E610" s="475"/>
      <c r="F610" s="475"/>
      <c r="G610" s="475"/>
      <c r="H610" s="475"/>
      <c r="I610" s="476"/>
      <c r="J610" s="767"/>
    </row>
    <row r="611" spans="1:10" ht="15.75">
      <c r="A611" s="426" t="s">
        <v>608</v>
      </c>
      <c r="B611" s="428" t="s">
        <v>326</v>
      </c>
      <c r="C611" s="224"/>
      <c r="D611" s="787">
        <f>'ESTIMATIVA DE HORAS TÉCNICAS'!F619*'ESTIMATIVA DE HORAS TÉCNICAS'!F$943+'ESTIMATIVA DE HORAS TÉCNICAS'!G619*'ESTIMATIVA DE HORAS TÉCNICAS'!F$942+'ESTIMATIVA DE HORAS TÉCNICAS'!H619*'ESTIMATIVA DE HORAS TÉCNICAS'!F$941+'ESTIMATIVA DE HORAS TÉCNICAS'!I619*'ESTIMATIVA DE HORAS TÉCNICAS'!F$945+'ESTIMATIVA DE HORAS TÉCNICAS'!J619*'ESTIMATIVA DE HORAS TÉCNICAS'!F$946+'ESTIMATIVA DE HORAS TÉCNICAS'!K619*'ESTIMATIVA DE HORAS TÉCNICAS'!$F$944+'ESTIMATIVA DE HORAS TÉCNICAS'!L619*'ESTIMATIVA DE HORAS TÉCNICAS'!F$951+'ESTIMATIVA DE HORAS TÉCNICAS'!M619*'ESTIMATIVA DE HORAS TÉCNICAS'!F$950+'ESTIMATIVA DE HORAS TÉCNICAS'!N619*'ESTIMATIVA DE HORAS TÉCNICAS'!F$949+'ESTIMATIVA DE HORAS TÉCNICAS'!O619*'ESTIMATIVA DE HORAS TÉCNICAS'!F$948+'ESTIMATIVA DE HORAS TÉCNICAS'!P619*'ESTIMATIVA DE HORAS TÉCNICAS'!$F$947+'ESTIMATIVA DE HORAS TÉCNICAS'!Q619*'ESTIMATIVA DE HORAS TÉCNICAS'!F$953+'ESTIMATIVA DE HORAS TÉCNICAS'!R619*'ESTIMATIVA DE HORAS TÉCNICAS'!F$954</f>
        <v>1765.5168044713869</v>
      </c>
      <c r="E611" s="411">
        <f>'CALCULO DO FATO K'!D$10</f>
        <v>2.3175723620309046</v>
      </c>
      <c r="F611" s="714"/>
      <c r="G611" s="714"/>
      <c r="H611" s="411">
        <f t="shared" ref="H611:H616" si="36">D611*E611</f>
        <v>4091.7129507440068</v>
      </c>
      <c r="I611" s="416"/>
      <c r="J611" s="767"/>
    </row>
    <row r="612" spans="1:10" ht="15.75">
      <c r="A612" s="426" t="s">
        <v>609</v>
      </c>
      <c r="B612" s="768" t="s">
        <v>135</v>
      </c>
      <c r="C612" s="409"/>
      <c r="D612" s="787">
        <f>'ESTIMATIVA DE HORAS TÉCNICAS'!F620*'ESTIMATIVA DE HORAS TÉCNICAS'!F$943+'ESTIMATIVA DE HORAS TÉCNICAS'!G620*'ESTIMATIVA DE HORAS TÉCNICAS'!F$942+'ESTIMATIVA DE HORAS TÉCNICAS'!H620*'ESTIMATIVA DE HORAS TÉCNICAS'!F$941+'ESTIMATIVA DE HORAS TÉCNICAS'!I620*'ESTIMATIVA DE HORAS TÉCNICAS'!F$945+'ESTIMATIVA DE HORAS TÉCNICAS'!J620*'ESTIMATIVA DE HORAS TÉCNICAS'!F$946+'ESTIMATIVA DE HORAS TÉCNICAS'!K620*'ESTIMATIVA DE HORAS TÉCNICAS'!$F$944+'ESTIMATIVA DE HORAS TÉCNICAS'!L620*'ESTIMATIVA DE HORAS TÉCNICAS'!F$951+'ESTIMATIVA DE HORAS TÉCNICAS'!M620*'ESTIMATIVA DE HORAS TÉCNICAS'!F$950+'ESTIMATIVA DE HORAS TÉCNICAS'!N620*'ESTIMATIVA DE HORAS TÉCNICAS'!F$949+'ESTIMATIVA DE HORAS TÉCNICAS'!O620*'ESTIMATIVA DE HORAS TÉCNICAS'!F$948+'ESTIMATIVA DE HORAS TÉCNICAS'!P620*'ESTIMATIVA DE HORAS TÉCNICAS'!$F$947+'ESTIMATIVA DE HORAS TÉCNICAS'!Q620*'ESTIMATIVA DE HORAS TÉCNICAS'!F$953+'ESTIMATIVA DE HORAS TÉCNICAS'!R620*'ESTIMATIVA DE HORAS TÉCNICAS'!F$954</f>
        <v>2686.352949056029</v>
      </c>
      <c r="E612" s="411">
        <f>'CALCULO DO FATO K'!D$10</f>
        <v>2.3175723620309046</v>
      </c>
      <c r="F612" s="714"/>
      <c r="G612" s="714"/>
      <c r="H612" s="411">
        <f t="shared" si="36"/>
        <v>6225.8173493924678</v>
      </c>
      <c r="I612" s="416"/>
      <c r="J612" s="767"/>
    </row>
    <row r="613" spans="1:10" ht="15.75">
      <c r="A613" s="426" t="s">
        <v>610</v>
      </c>
      <c r="B613" s="768" t="s">
        <v>105</v>
      </c>
      <c r="C613" s="409"/>
      <c r="D613" s="787">
        <f>'ESTIMATIVA DE HORAS TÉCNICAS'!F621*'ESTIMATIVA DE HORAS TÉCNICAS'!F$943+'ESTIMATIVA DE HORAS TÉCNICAS'!G621*'ESTIMATIVA DE HORAS TÉCNICAS'!F$942+'ESTIMATIVA DE HORAS TÉCNICAS'!H621*'ESTIMATIVA DE HORAS TÉCNICAS'!F$941+'ESTIMATIVA DE HORAS TÉCNICAS'!I621*'ESTIMATIVA DE HORAS TÉCNICAS'!F$945+'ESTIMATIVA DE HORAS TÉCNICAS'!J621*'ESTIMATIVA DE HORAS TÉCNICAS'!F$946+'ESTIMATIVA DE HORAS TÉCNICAS'!K621*'ESTIMATIVA DE HORAS TÉCNICAS'!$F$944+'ESTIMATIVA DE HORAS TÉCNICAS'!L621*'ESTIMATIVA DE HORAS TÉCNICAS'!F$951+'ESTIMATIVA DE HORAS TÉCNICAS'!M621*'ESTIMATIVA DE HORAS TÉCNICAS'!F$950+'ESTIMATIVA DE HORAS TÉCNICAS'!N621*'ESTIMATIVA DE HORAS TÉCNICAS'!F$949+'ESTIMATIVA DE HORAS TÉCNICAS'!O621*'ESTIMATIVA DE HORAS TÉCNICAS'!F$948+'ESTIMATIVA DE HORAS TÉCNICAS'!P621*'ESTIMATIVA DE HORAS TÉCNICAS'!$F$947+'ESTIMATIVA DE HORAS TÉCNICAS'!Q621*'ESTIMATIVA DE HORAS TÉCNICAS'!F$953+'ESTIMATIVA DE HORAS TÉCNICAS'!R621*'ESTIMATIVA DE HORAS TÉCNICAS'!F$954</f>
        <v>1374.9293807717766</v>
      </c>
      <c r="E613" s="411">
        <f>'CALCULO DO FATO K'!D$10</f>
        <v>2.3175723620309046</v>
      </c>
      <c r="F613" s="714"/>
      <c r="G613" s="714"/>
      <c r="H613" s="411">
        <f t="shared" si="36"/>
        <v>3186.4983326209353</v>
      </c>
      <c r="I613" s="416"/>
      <c r="J613" s="767"/>
    </row>
    <row r="614" spans="1:10" ht="15.75">
      <c r="A614" s="426" t="s">
        <v>611</v>
      </c>
      <c r="B614" s="768" t="s">
        <v>595</v>
      </c>
      <c r="C614" s="409"/>
      <c r="D614" s="787">
        <f>'ESTIMATIVA DE HORAS TÉCNICAS'!F622*'ESTIMATIVA DE HORAS TÉCNICAS'!F$943+'ESTIMATIVA DE HORAS TÉCNICAS'!G622*'ESTIMATIVA DE HORAS TÉCNICAS'!F$942+'ESTIMATIVA DE HORAS TÉCNICAS'!H622*'ESTIMATIVA DE HORAS TÉCNICAS'!F$941+'ESTIMATIVA DE HORAS TÉCNICAS'!I622*'ESTIMATIVA DE HORAS TÉCNICAS'!F$945+'ESTIMATIVA DE HORAS TÉCNICAS'!J622*'ESTIMATIVA DE HORAS TÉCNICAS'!F$946+'ESTIMATIVA DE HORAS TÉCNICAS'!K622*'ESTIMATIVA DE HORAS TÉCNICAS'!$F$944+'ESTIMATIVA DE HORAS TÉCNICAS'!L622*'ESTIMATIVA DE HORAS TÉCNICAS'!F$951+'ESTIMATIVA DE HORAS TÉCNICAS'!M622*'ESTIMATIVA DE HORAS TÉCNICAS'!F$950+'ESTIMATIVA DE HORAS TÉCNICAS'!N622*'ESTIMATIVA DE HORAS TÉCNICAS'!F$949+'ESTIMATIVA DE HORAS TÉCNICAS'!O622*'ESTIMATIVA DE HORAS TÉCNICAS'!F$948+'ESTIMATIVA DE HORAS TÉCNICAS'!P622*'ESTIMATIVA DE HORAS TÉCNICAS'!$F$947+'ESTIMATIVA DE HORAS TÉCNICAS'!Q622*'ESTIMATIVA DE HORAS TÉCNICAS'!F$953+'ESTIMATIVA DE HORAS TÉCNICAS'!R622*'ESTIMATIVA DE HORAS TÉCNICAS'!F$954</f>
        <v>1374.9293807717766</v>
      </c>
      <c r="E614" s="411">
        <f>'CALCULO DO FATO K'!D$10</f>
        <v>2.3175723620309046</v>
      </c>
      <c r="F614" s="714"/>
      <c r="G614" s="714"/>
      <c r="H614" s="411">
        <f t="shared" si="36"/>
        <v>3186.4983326209353</v>
      </c>
      <c r="I614" s="416"/>
      <c r="J614" s="767"/>
    </row>
    <row r="615" spans="1:10" ht="15.75">
      <c r="A615" s="426" t="s">
        <v>612</v>
      </c>
      <c r="B615" s="768" t="s">
        <v>597</v>
      </c>
      <c r="C615" s="409"/>
      <c r="D615" s="787">
        <f>'ESTIMATIVA DE HORAS TÉCNICAS'!F623*'ESTIMATIVA DE HORAS TÉCNICAS'!F$943+'ESTIMATIVA DE HORAS TÉCNICAS'!G623*'ESTIMATIVA DE HORAS TÉCNICAS'!F$942+'ESTIMATIVA DE HORAS TÉCNICAS'!H623*'ESTIMATIVA DE HORAS TÉCNICAS'!F$941+'ESTIMATIVA DE HORAS TÉCNICAS'!I623*'ESTIMATIVA DE HORAS TÉCNICAS'!F$945+'ESTIMATIVA DE HORAS TÉCNICAS'!J623*'ESTIMATIVA DE HORAS TÉCNICAS'!F$946+'ESTIMATIVA DE HORAS TÉCNICAS'!K623*'ESTIMATIVA DE HORAS TÉCNICAS'!$F$944+'ESTIMATIVA DE HORAS TÉCNICAS'!L623*'ESTIMATIVA DE HORAS TÉCNICAS'!F$951+'ESTIMATIVA DE HORAS TÉCNICAS'!M623*'ESTIMATIVA DE HORAS TÉCNICAS'!F$950+'ESTIMATIVA DE HORAS TÉCNICAS'!N623*'ESTIMATIVA DE HORAS TÉCNICAS'!F$949+'ESTIMATIVA DE HORAS TÉCNICAS'!O623*'ESTIMATIVA DE HORAS TÉCNICAS'!F$948+'ESTIMATIVA DE HORAS TÉCNICAS'!P623*'ESTIMATIVA DE HORAS TÉCNICAS'!$F$947+'ESTIMATIVA DE HORAS TÉCNICAS'!Q623*'ESTIMATIVA DE HORAS TÉCNICAS'!F$953+'ESTIMATIVA DE HORAS TÉCNICAS'!R623*'ESTIMATIVA DE HORAS TÉCNICAS'!F$954</f>
        <v>130.53348812287911</v>
      </c>
      <c r="E615" s="411">
        <f>'CALCULO DO FATO K'!D$10</f>
        <v>2.3175723620309046</v>
      </c>
      <c r="F615" s="714"/>
      <c r="G615" s="714"/>
      <c r="H615" s="411">
        <f t="shared" si="36"/>
        <v>302.52080439307394</v>
      </c>
      <c r="I615" s="416"/>
      <c r="J615" s="767"/>
    </row>
    <row r="616" spans="1:10" ht="15.75">
      <c r="A616" s="426" t="s">
        <v>613</v>
      </c>
      <c r="B616" s="768" t="s">
        <v>150</v>
      </c>
      <c r="C616" s="409"/>
      <c r="D616" s="787">
        <f>'ESTIMATIVA DE HORAS TÉCNICAS'!F624*'ESTIMATIVA DE HORAS TÉCNICAS'!F$943+'ESTIMATIVA DE HORAS TÉCNICAS'!G624*'ESTIMATIVA DE HORAS TÉCNICAS'!F$942+'ESTIMATIVA DE HORAS TÉCNICAS'!H624*'ESTIMATIVA DE HORAS TÉCNICAS'!F$941+'ESTIMATIVA DE HORAS TÉCNICAS'!I624*'ESTIMATIVA DE HORAS TÉCNICAS'!F$945+'ESTIMATIVA DE HORAS TÉCNICAS'!J624*'ESTIMATIVA DE HORAS TÉCNICAS'!F$946+'ESTIMATIVA DE HORAS TÉCNICAS'!K624*'ESTIMATIVA DE HORAS TÉCNICAS'!$F$944+'ESTIMATIVA DE HORAS TÉCNICAS'!L624*'ESTIMATIVA DE HORAS TÉCNICAS'!F$951+'ESTIMATIVA DE HORAS TÉCNICAS'!M624*'ESTIMATIVA DE HORAS TÉCNICAS'!F$950+'ESTIMATIVA DE HORAS TÉCNICAS'!N624*'ESTIMATIVA DE HORAS TÉCNICAS'!F$949+'ESTIMATIVA DE HORAS TÉCNICAS'!O624*'ESTIMATIVA DE HORAS TÉCNICAS'!F$948+'ESTIMATIVA DE HORAS TÉCNICAS'!P624*'ESTIMATIVA DE HORAS TÉCNICAS'!$F$947+'ESTIMATIVA DE HORAS TÉCNICAS'!Q624*'ESTIMATIVA DE HORAS TÉCNICAS'!F$953+'ESTIMATIVA DE HORAS TÉCNICAS'!R624*'ESTIMATIVA DE HORAS TÉCNICAS'!F$954</f>
        <v>1051.3696327075213</v>
      </c>
      <c r="E616" s="411">
        <f>'CALCULO DO FATO K'!D$10</f>
        <v>2.3175723620309046</v>
      </c>
      <c r="F616" s="714"/>
      <c r="G616" s="714"/>
      <c r="H616" s="411">
        <f t="shared" si="36"/>
        <v>2436.6252030415349</v>
      </c>
      <c r="I616" s="416">
        <f>SUM(H611:H616)</f>
        <v>19429.67297281295</v>
      </c>
      <c r="J616" s="767"/>
    </row>
    <row r="617" spans="1:10" s="532" customFormat="1" ht="15.75">
      <c r="A617" s="426"/>
      <c r="B617" s="768"/>
      <c r="C617" s="409"/>
      <c r="D617" s="787"/>
      <c r="E617" s="411"/>
      <c r="F617" s="714"/>
      <c r="G617" s="714"/>
      <c r="H617" s="411"/>
      <c r="I617" s="416"/>
      <c r="J617" s="767"/>
    </row>
    <row r="618" spans="1:10" s="318" customFormat="1" ht="15.75">
      <c r="A618" s="426"/>
      <c r="B618" s="768"/>
      <c r="C618" s="409"/>
      <c r="D618" s="787"/>
      <c r="E618" s="411"/>
      <c r="F618" s="714"/>
      <c r="G618" s="714"/>
      <c r="H618" s="411"/>
      <c r="I618" s="416"/>
      <c r="J618" s="767"/>
    </row>
    <row r="619" spans="1:10" ht="15.75">
      <c r="A619" s="391" t="s">
        <v>614</v>
      </c>
      <c r="B619" s="427" t="s">
        <v>354</v>
      </c>
      <c r="C619" s="481"/>
      <c r="D619" s="796"/>
      <c r="E619" s="475"/>
      <c r="F619" s="475"/>
      <c r="G619" s="475"/>
      <c r="H619" s="475"/>
      <c r="I619" s="476"/>
      <c r="J619" s="767"/>
    </row>
    <row r="620" spans="1:10" ht="15.75">
      <c r="A620" s="426" t="s">
        <v>615</v>
      </c>
      <c r="B620" s="428" t="s">
        <v>326</v>
      </c>
      <c r="C620" s="224"/>
      <c r="D620" s="787">
        <f>'ESTIMATIVA DE HORAS TÉCNICAS'!F628*'ESTIMATIVA DE HORAS TÉCNICAS'!F$943+'ESTIMATIVA DE HORAS TÉCNICAS'!G628*'ESTIMATIVA DE HORAS TÉCNICAS'!F$942+'ESTIMATIVA DE HORAS TÉCNICAS'!H628*'ESTIMATIVA DE HORAS TÉCNICAS'!F$941+'ESTIMATIVA DE HORAS TÉCNICAS'!I628*'ESTIMATIVA DE HORAS TÉCNICAS'!F$945+'ESTIMATIVA DE HORAS TÉCNICAS'!J628*'ESTIMATIVA DE HORAS TÉCNICAS'!F$946+'ESTIMATIVA DE HORAS TÉCNICAS'!K628*'ESTIMATIVA DE HORAS TÉCNICAS'!$F$944+'ESTIMATIVA DE HORAS TÉCNICAS'!L628*'ESTIMATIVA DE HORAS TÉCNICAS'!F$951+'ESTIMATIVA DE HORAS TÉCNICAS'!M628*'ESTIMATIVA DE HORAS TÉCNICAS'!F$950+'ESTIMATIVA DE HORAS TÉCNICAS'!N628*'ESTIMATIVA DE HORAS TÉCNICAS'!F$949+'ESTIMATIVA DE HORAS TÉCNICAS'!O628*'ESTIMATIVA DE HORAS TÉCNICAS'!F$948+'ESTIMATIVA DE HORAS TÉCNICAS'!P628*'ESTIMATIVA DE HORAS TÉCNICAS'!$F$947+'ESTIMATIVA DE HORAS TÉCNICAS'!Q628*'ESTIMATIVA DE HORAS TÉCNICAS'!F$953+'ESTIMATIVA DE HORAS TÉCNICAS'!R628*'ESTIMATIVA DE HORAS TÉCNICAS'!F$954</f>
        <v>10606.791685490056</v>
      </c>
      <c r="E620" s="411">
        <f>'CALCULO DO FATO K'!D$10</f>
        <v>2.3175723620309046</v>
      </c>
      <c r="F620" s="714"/>
      <c r="G620" s="714"/>
      <c r="H620" s="411">
        <f t="shared" ref="H620:H625" si="37">D620*E620</f>
        <v>24582.00726011095</v>
      </c>
      <c r="I620" s="416"/>
      <c r="J620" s="767"/>
    </row>
    <row r="621" spans="1:10" ht="15.75">
      <c r="A621" s="426" t="s">
        <v>616</v>
      </c>
      <c r="B621" s="768" t="s">
        <v>135</v>
      </c>
      <c r="C621" s="409"/>
      <c r="D621" s="787">
        <f>'ESTIMATIVA DE HORAS TÉCNICAS'!F629*'ESTIMATIVA DE HORAS TÉCNICAS'!F$943+'ESTIMATIVA DE HORAS TÉCNICAS'!G629*'ESTIMATIVA DE HORAS TÉCNICAS'!F$942+'ESTIMATIVA DE HORAS TÉCNICAS'!H629*'ESTIMATIVA DE HORAS TÉCNICAS'!F$941+'ESTIMATIVA DE HORAS TÉCNICAS'!I629*'ESTIMATIVA DE HORAS TÉCNICAS'!F$945+'ESTIMATIVA DE HORAS TÉCNICAS'!J629*'ESTIMATIVA DE HORAS TÉCNICAS'!F$946+'ESTIMATIVA DE HORAS TÉCNICAS'!K629*'ESTIMATIVA DE HORAS TÉCNICAS'!$F$944+'ESTIMATIVA DE HORAS TÉCNICAS'!L629*'ESTIMATIVA DE HORAS TÉCNICAS'!F$951+'ESTIMATIVA DE HORAS TÉCNICAS'!M629*'ESTIMATIVA DE HORAS TÉCNICAS'!F$950+'ESTIMATIVA DE HORAS TÉCNICAS'!N629*'ESTIMATIVA DE HORAS TÉCNICAS'!F$949+'ESTIMATIVA DE HORAS TÉCNICAS'!O629*'ESTIMATIVA DE HORAS TÉCNICAS'!F$948+'ESTIMATIVA DE HORAS TÉCNICAS'!P629*'ESTIMATIVA DE HORAS TÉCNICAS'!$F$947+'ESTIMATIVA DE HORAS TÉCNICAS'!Q629*'ESTIMATIVA DE HORAS TÉCNICAS'!F$953+'ESTIMATIVA DE HORAS TÉCNICAS'!R629*'ESTIMATIVA DE HORAS TÉCNICAS'!F$954</f>
        <v>6944.5868905161633</v>
      </c>
      <c r="E621" s="411">
        <f>'CALCULO DO FATO K'!D$10</f>
        <v>2.3175723620309046</v>
      </c>
      <c r="F621" s="714"/>
      <c r="G621" s="714"/>
      <c r="H621" s="411">
        <f t="shared" si="37"/>
        <v>16094.582643182399</v>
      </c>
      <c r="I621" s="416"/>
      <c r="J621" s="767"/>
    </row>
    <row r="622" spans="1:10" ht="15.75">
      <c r="A622" s="426" t="s">
        <v>617</v>
      </c>
      <c r="B622" s="768" t="s">
        <v>105</v>
      </c>
      <c r="C622" s="409"/>
      <c r="D622" s="787">
        <f>'ESTIMATIVA DE HORAS TÉCNICAS'!F630*'ESTIMATIVA DE HORAS TÉCNICAS'!F$943+'ESTIMATIVA DE HORAS TÉCNICAS'!G630*'ESTIMATIVA DE HORAS TÉCNICAS'!F$942+'ESTIMATIVA DE HORAS TÉCNICAS'!H630*'ESTIMATIVA DE HORAS TÉCNICAS'!F$941+'ESTIMATIVA DE HORAS TÉCNICAS'!I630*'ESTIMATIVA DE HORAS TÉCNICAS'!F$945+'ESTIMATIVA DE HORAS TÉCNICAS'!J630*'ESTIMATIVA DE HORAS TÉCNICAS'!F$946+'ESTIMATIVA DE HORAS TÉCNICAS'!K630*'ESTIMATIVA DE HORAS TÉCNICAS'!$F$944+'ESTIMATIVA DE HORAS TÉCNICAS'!L630*'ESTIMATIVA DE HORAS TÉCNICAS'!F$951+'ESTIMATIVA DE HORAS TÉCNICAS'!M630*'ESTIMATIVA DE HORAS TÉCNICAS'!F$950+'ESTIMATIVA DE HORAS TÉCNICAS'!N630*'ESTIMATIVA DE HORAS TÉCNICAS'!F$949+'ESTIMATIVA DE HORAS TÉCNICAS'!O630*'ESTIMATIVA DE HORAS TÉCNICAS'!F$948+'ESTIMATIVA DE HORAS TÉCNICAS'!P630*'ESTIMATIVA DE HORAS TÉCNICAS'!$F$947+'ESTIMATIVA DE HORAS TÉCNICAS'!Q630*'ESTIMATIVA DE HORAS TÉCNICAS'!F$953+'ESTIMATIVA DE HORAS TÉCNICAS'!R630*'ESTIMATIVA DE HORAS TÉCNICAS'!F$954</f>
        <v>4805.0870586134088</v>
      </c>
      <c r="E622" s="411">
        <f>'CALCULO DO FATO K'!D$10</f>
        <v>2.3175723620309046</v>
      </c>
      <c r="F622" s="714"/>
      <c r="G622" s="714"/>
      <c r="H622" s="411">
        <f t="shared" si="37"/>
        <v>11136.136964194809</v>
      </c>
      <c r="I622" s="416"/>
      <c r="J622" s="767"/>
    </row>
    <row r="623" spans="1:10" ht="15.75">
      <c r="A623" s="426" t="s">
        <v>618</v>
      </c>
      <c r="B623" s="768" t="s">
        <v>595</v>
      </c>
      <c r="C623" s="409"/>
      <c r="D623" s="787">
        <f>'ESTIMATIVA DE HORAS TÉCNICAS'!F631*'ESTIMATIVA DE HORAS TÉCNICAS'!F$943+'ESTIMATIVA DE HORAS TÉCNICAS'!G631*'ESTIMATIVA DE HORAS TÉCNICAS'!F$942+'ESTIMATIVA DE HORAS TÉCNICAS'!H631*'ESTIMATIVA DE HORAS TÉCNICAS'!F$941+'ESTIMATIVA DE HORAS TÉCNICAS'!I631*'ESTIMATIVA DE HORAS TÉCNICAS'!F$945+'ESTIMATIVA DE HORAS TÉCNICAS'!J631*'ESTIMATIVA DE HORAS TÉCNICAS'!F$946+'ESTIMATIVA DE HORAS TÉCNICAS'!K631*'ESTIMATIVA DE HORAS TÉCNICAS'!$F$944+'ESTIMATIVA DE HORAS TÉCNICAS'!L631*'ESTIMATIVA DE HORAS TÉCNICAS'!F$951+'ESTIMATIVA DE HORAS TÉCNICAS'!M631*'ESTIMATIVA DE HORAS TÉCNICAS'!F$950+'ESTIMATIVA DE HORAS TÉCNICAS'!N631*'ESTIMATIVA DE HORAS TÉCNICAS'!F$949+'ESTIMATIVA DE HORAS TÉCNICAS'!O631*'ESTIMATIVA DE HORAS TÉCNICAS'!F$948+'ESTIMATIVA DE HORAS TÉCNICAS'!P631*'ESTIMATIVA DE HORAS TÉCNICAS'!$F$947+'ESTIMATIVA DE HORAS TÉCNICAS'!Q631*'ESTIMATIVA DE HORAS TÉCNICAS'!F$953+'ESTIMATIVA DE HORAS TÉCNICAS'!R631*'ESTIMATIVA DE HORAS TÉCNICAS'!F$954</f>
        <v>5743.6894561003546</v>
      </c>
      <c r="E623" s="411">
        <f>'CALCULO DO FATO K'!D$10</f>
        <v>2.3175723620309046</v>
      </c>
      <c r="F623" s="714"/>
      <c r="G623" s="714"/>
      <c r="H623" s="411">
        <f t="shared" si="37"/>
        <v>13311.415939546499</v>
      </c>
      <c r="I623" s="416"/>
      <c r="J623" s="767"/>
    </row>
    <row r="624" spans="1:10" ht="15.75">
      <c r="A624" s="426" t="s">
        <v>619</v>
      </c>
      <c r="B624" s="768" t="s">
        <v>597</v>
      </c>
      <c r="C624" s="409"/>
      <c r="D624" s="787">
        <f>'ESTIMATIVA DE HORAS TÉCNICAS'!F632*'ESTIMATIVA DE HORAS TÉCNICAS'!F$943+'ESTIMATIVA DE HORAS TÉCNICAS'!G632*'ESTIMATIVA DE HORAS TÉCNICAS'!F$942+'ESTIMATIVA DE HORAS TÉCNICAS'!H632*'ESTIMATIVA DE HORAS TÉCNICAS'!F$941+'ESTIMATIVA DE HORAS TÉCNICAS'!I632*'ESTIMATIVA DE HORAS TÉCNICAS'!F$945+'ESTIMATIVA DE HORAS TÉCNICAS'!J632*'ESTIMATIVA DE HORAS TÉCNICAS'!F$946+'ESTIMATIVA DE HORAS TÉCNICAS'!K632*'ESTIMATIVA DE HORAS TÉCNICAS'!$F$944+'ESTIMATIVA DE HORAS TÉCNICAS'!L632*'ESTIMATIVA DE HORAS TÉCNICAS'!F$951+'ESTIMATIVA DE HORAS TÉCNICAS'!M632*'ESTIMATIVA DE HORAS TÉCNICAS'!F$950+'ESTIMATIVA DE HORAS TÉCNICAS'!N632*'ESTIMATIVA DE HORAS TÉCNICAS'!F$949+'ESTIMATIVA DE HORAS TÉCNICAS'!O632*'ESTIMATIVA DE HORAS TÉCNICAS'!F$948+'ESTIMATIVA DE HORAS TÉCNICAS'!P632*'ESTIMATIVA DE HORAS TÉCNICAS'!$F$947+'ESTIMATIVA DE HORAS TÉCNICAS'!Q632*'ESTIMATIVA DE HORAS TÉCNICAS'!F$953+'ESTIMATIVA DE HORAS TÉCNICAS'!R632*'ESTIMATIVA DE HORAS TÉCNICAS'!F$954</f>
        <v>264.9061964846664</v>
      </c>
      <c r="E624" s="411">
        <f>'CALCULO DO FATO K'!D$10</f>
        <v>2.3175723620309046</v>
      </c>
      <c r="F624" s="714"/>
      <c r="G624" s="714"/>
      <c r="H624" s="411">
        <f t="shared" si="37"/>
        <v>613.93927950359125</v>
      </c>
      <c r="I624" s="416"/>
      <c r="J624" s="767"/>
    </row>
    <row r="625" spans="1:10" ht="15.75">
      <c r="A625" s="426" t="s">
        <v>620</v>
      </c>
      <c r="B625" s="768" t="s">
        <v>150</v>
      </c>
      <c r="C625" s="409"/>
      <c r="D625" s="787">
        <f>'ESTIMATIVA DE HORAS TÉCNICAS'!F633*'ESTIMATIVA DE HORAS TÉCNICAS'!F$943+'ESTIMATIVA DE HORAS TÉCNICAS'!G633*'ESTIMATIVA DE HORAS TÉCNICAS'!F$942+'ESTIMATIVA DE HORAS TÉCNICAS'!H633*'ESTIMATIVA DE HORAS TÉCNICAS'!F$941+'ESTIMATIVA DE HORAS TÉCNICAS'!I633*'ESTIMATIVA DE HORAS TÉCNICAS'!F$945+'ESTIMATIVA DE HORAS TÉCNICAS'!J633*'ESTIMATIVA DE HORAS TÉCNICAS'!F$946+'ESTIMATIVA DE HORAS TÉCNICAS'!K633*'ESTIMATIVA DE HORAS TÉCNICAS'!$F$944+'ESTIMATIVA DE HORAS TÉCNICAS'!L633*'ESTIMATIVA DE HORAS TÉCNICAS'!F$951+'ESTIMATIVA DE HORAS TÉCNICAS'!M633*'ESTIMATIVA DE HORAS TÉCNICAS'!F$950+'ESTIMATIVA DE HORAS TÉCNICAS'!N633*'ESTIMATIVA DE HORAS TÉCNICAS'!F$949+'ESTIMATIVA DE HORAS TÉCNICAS'!O633*'ESTIMATIVA DE HORAS TÉCNICAS'!F$948+'ESTIMATIVA DE HORAS TÉCNICAS'!P633*'ESTIMATIVA DE HORAS TÉCNICAS'!$F$947+'ESTIMATIVA DE HORAS TÉCNICAS'!Q633*'ESTIMATIVA DE HORAS TÉCNICAS'!F$953+'ESTIMATIVA DE HORAS TÉCNICAS'!R633*'ESTIMATIVA DE HORAS TÉCNICAS'!F$954</f>
        <v>4805.0870586134088</v>
      </c>
      <c r="E625" s="411">
        <f>'CALCULO DO FATO K'!D$10</f>
        <v>2.3175723620309046</v>
      </c>
      <c r="F625" s="714"/>
      <c r="G625" s="714"/>
      <c r="H625" s="411">
        <f t="shared" si="37"/>
        <v>11136.136964194809</v>
      </c>
      <c r="I625" s="416">
        <f>SUM(H620:H625)</f>
        <v>76874.219050733067</v>
      </c>
      <c r="J625" s="767"/>
    </row>
    <row r="626" spans="1:10" s="532" customFormat="1" ht="15.75">
      <c r="A626" s="426"/>
      <c r="B626" s="768"/>
      <c r="C626" s="409"/>
      <c r="D626" s="787"/>
      <c r="E626" s="411"/>
      <c r="F626" s="714"/>
      <c r="G626" s="714"/>
      <c r="H626" s="411"/>
      <c r="I626" s="416"/>
      <c r="J626" s="767"/>
    </row>
    <row r="627" spans="1:10" s="318" customFormat="1" ht="15.75">
      <c r="A627" s="426"/>
      <c r="B627" s="768"/>
      <c r="C627" s="409"/>
      <c r="D627" s="787"/>
      <c r="E627" s="411"/>
      <c r="F627" s="714"/>
      <c r="G627" s="714"/>
      <c r="H627" s="411"/>
      <c r="I627" s="416"/>
      <c r="J627" s="767"/>
    </row>
    <row r="628" spans="1:10" ht="15.75">
      <c r="A628" s="391" t="s">
        <v>621</v>
      </c>
      <c r="B628" s="427" t="s">
        <v>126</v>
      </c>
      <c r="C628" s="474"/>
      <c r="D628" s="796"/>
      <c r="E628" s="475"/>
      <c r="F628" s="475"/>
      <c r="G628" s="475"/>
      <c r="H628" s="475"/>
      <c r="I628" s="476"/>
      <c r="J628" s="767"/>
    </row>
    <row r="629" spans="1:10" ht="15.75">
      <c r="A629" s="426" t="s">
        <v>622</v>
      </c>
      <c r="B629" s="428" t="s">
        <v>326</v>
      </c>
      <c r="C629" s="410"/>
      <c r="D629" s="787">
        <f>'ESTIMATIVA DE HORAS TÉCNICAS'!F637*'ESTIMATIVA DE HORAS TÉCNICAS'!F$943+'ESTIMATIVA DE HORAS TÉCNICAS'!G637*'ESTIMATIVA DE HORAS TÉCNICAS'!F$942+'ESTIMATIVA DE HORAS TÉCNICAS'!H637*'ESTIMATIVA DE HORAS TÉCNICAS'!F$941+'ESTIMATIVA DE HORAS TÉCNICAS'!I637*'ESTIMATIVA DE HORAS TÉCNICAS'!F$945+'ESTIMATIVA DE HORAS TÉCNICAS'!J637*'ESTIMATIVA DE HORAS TÉCNICAS'!F$946+'ESTIMATIVA DE HORAS TÉCNICAS'!K637*'ESTIMATIVA DE HORAS TÉCNICAS'!$F$944+'ESTIMATIVA DE HORAS TÉCNICAS'!L637*'ESTIMATIVA DE HORAS TÉCNICAS'!F$951+'ESTIMATIVA DE HORAS TÉCNICAS'!M637*'ESTIMATIVA DE HORAS TÉCNICAS'!F$950+'ESTIMATIVA DE HORAS TÉCNICAS'!N637*'ESTIMATIVA DE HORAS TÉCNICAS'!F$949+'ESTIMATIVA DE HORAS TÉCNICAS'!O637*'ESTIMATIVA DE HORAS TÉCNICAS'!F$948+'ESTIMATIVA DE HORAS TÉCNICAS'!P637*'ESTIMATIVA DE HORAS TÉCNICAS'!$F$947+'ESTIMATIVA DE HORAS TÉCNICAS'!Q637*'ESTIMATIVA DE HORAS TÉCNICAS'!F$953+'ESTIMATIVA DE HORAS TÉCNICAS'!R637*'ESTIMATIVA DE HORAS TÉCNICAS'!F$954</f>
        <v>3153.6557420968034</v>
      </c>
      <c r="E629" s="411">
        <f>'CALCULO DO FATO K'!D$10</f>
        <v>2.3175723620309046</v>
      </c>
      <c r="F629" s="714"/>
      <c r="G629" s="714"/>
      <c r="H629" s="411">
        <f t="shared" ref="H629:H634" si="38">D629*E629</f>
        <v>7308.8253872436135</v>
      </c>
      <c r="I629" s="416"/>
      <c r="J629" s="767"/>
    </row>
    <row r="630" spans="1:10" ht="15.75">
      <c r="A630" s="426" t="s">
        <v>623</v>
      </c>
      <c r="B630" s="768" t="s">
        <v>135</v>
      </c>
      <c r="C630" s="409"/>
      <c r="D630" s="787">
        <f>'ESTIMATIVA DE HORAS TÉCNICAS'!F638*'ESTIMATIVA DE HORAS TÉCNICAS'!F$943+'ESTIMATIVA DE HORAS TÉCNICAS'!G638*'ESTIMATIVA DE HORAS TÉCNICAS'!F$942+'ESTIMATIVA DE HORAS TÉCNICAS'!H638*'ESTIMATIVA DE HORAS TÉCNICAS'!F$941+'ESTIMATIVA DE HORAS TÉCNICAS'!I638*'ESTIMATIVA DE HORAS TÉCNICAS'!F$945+'ESTIMATIVA DE HORAS TÉCNICAS'!J638*'ESTIMATIVA DE HORAS TÉCNICAS'!F$946+'ESTIMATIVA DE HORAS TÉCNICAS'!K638*'ESTIMATIVA DE HORAS TÉCNICAS'!$F$944+'ESTIMATIVA DE HORAS TÉCNICAS'!L638*'ESTIMATIVA DE HORAS TÉCNICAS'!F$951+'ESTIMATIVA DE HORAS TÉCNICAS'!M638*'ESTIMATIVA DE HORAS TÉCNICAS'!F$950+'ESTIMATIVA DE HORAS TÉCNICAS'!N638*'ESTIMATIVA DE HORAS TÉCNICAS'!F$949+'ESTIMATIVA DE HORAS TÉCNICAS'!O638*'ESTIMATIVA DE HORAS TÉCNICAS'!F$948+'ESTIMATIVA DE HORAS TÉCNICAS'!P638*'ESTIMATIVA DE HORAS TÉCNICAS'!$F$947+'ESTIMATIVA DE HORAS TÉCNICAS'!Q638*'ESTIMATIVA DE HORAS TÉCNICAS'!F$953+'ESTIMATIVA DE HORAS TÉCNICAS'!R638*'ESTIMATIVA DE HORAS TÉCNICAS'!F$954</f>
        <v>2717.6689981404243</v>
      </c>
      <c r="E630" s="411">
        <f>'CALCULO DO FATO K'!D$10</f>
        <v>2.3175723620309046</v>
      </c>
      <c r="F630" s="714"/>
      <c r="G630" s="714"/>
      <c r="H630" s="411">
        <f t="shared" si="38"/>
        <v>6298.3945592384653</v>
      </c>
      <c r="I630" s="416"/>
      <c r="J630" s="767"/>
    </row>
    <row r="631" spans="1:10" ht="15.75">
      <c r="A631" s="426" t="s">
        <v>624</v>
      </c>
      <c r="B631" s="768" t="s">
        <v>105</v>
      </c>
      <c r="C631" s="409"/>
      <c r="D631" s="787">
        <f>'ESTIMATIVA DE HORAS TÉCNICAS'!F639*'ESTIMATIVA DE HORAS TÉCNICAS'!F$943+'ESTIMATIVA DE HORAS TÉCNICAS'!G639*'ESTIMATIVA DE HORAS TÉCNICAS'!F$942+'ESTIMATIVA DE HORAS TÉCNICAS'!H639*'ESTIMATIVA DE HORAS TÉCNICAS'!F$941+'ESTIMATIVA DE HORAS TÉCNICAS'!I639*'ESTIMATIVA DE HORAS TÉCNICAS'!F$945+'ESTIMATIVA DE HORAS TÉCNICAS'!J639*'ESTIMATIVA DE HORAS TÉCNICAS'!F$946+'ESTIMATIVA DE HORAS TÉCNICAS'!K639*'ESTIMATIVA DE HORAS TÉCNICAS'!$F$944+'ESTIMATIVA DE HORAS TÉCNICAS'!L639*'ESTIMATIVA DE HORAS TÉCNICAS'!F$951+'ESTIMATIVA DE HORAS TÉCNICAS'!M639*'ESTIMATIVA DE HORAS TÉCNICAS'!F$950+'ESTIMATIVA DE HORAS TÉCNICAS'!N639*'ESTIMATIVA DE HORAS TÉCNICAS'!F$949+'ESTIMATIVA DE HORAS TÉCNICAS'!O639*'ESTIMATIVA DE HORAS TÉCNICAS'!F$948+'ESTIMATIVA DE HORAS TÉCNICAS'!P639*'ESTIMATIVA DE HORAS TÉCNICAS'!$F$947+'ESTIMATIVA DE HORAS TÉCNICAS'!Q639*'ESTIMATIVA DE HORAS TÉCNICAS'!F$953+'ESTIMATIVA DE HORAS TÉCNICAS'!R639*'ESTIMATIVA DE HORAS TÉCNICAS'!F$954</f>
        <v>1762.0534680562707</v>
      </c>
      <c r="E631" s="411">
        <f>'CALCULO DO FATO K'!D$10</f>
        <v>2.3175723620309046</v>
      </c>
      <c r="F631" s="714"/>
      <c r="G631" s="714"/>
      <c r="H631" s="411">
        <f t="shared" si="38"/>
        <v>4083.6864179879185</v>
      </c>
      <c r="I631" s="416"/>
      <c r="J631" s="767"/>
    </row>
    <row r="632" spans="1:10" ht="15.75">
      <c r="A632" s="426" t="s">
        <v>625</v>
      </c>
      <c r="B632" s="768" t="s">
        <v>595</v>
      </c>
      <c r="C632" s="409"/>
      <c r="D632" s="787">
        <f>'ESTIMATIVA DE HORAS TÉCNICAS'!F640*'ESTIMATIVA DE HORAS TÉCNICAS'!F$943+'ESTIMATIVA DE HORAS TÉCNICAS'!G640*'ESTIMATIVA DE HORAS TÉCNICAS'!F$942+'ESTIMATIVA DE HORAS TÉCNICAS'!H640*'ESTIMATIVA DE HORAS TÉCNICAS'!F$941+'ESTIMATIVA DE HORAS TÉCNICAS'!I640*'ESTIMATIVA DE HORAS TÉCNICAS'!F$945+'ESTIMATIVA DE HORAS TÉCNICAS'!J640*'ESTIMATIVA DE HORAS TÉCNICAS'!F$946+'ESTIMATIVA DE HORAS TÉCNICAS'!K640*'ESTIMATIVA DE HORAS TÉCNICAS'!$F$944+'ESTIMATIVA DE HORAS TÉCNICAS'!L640*'ESTIMATIVA DE HORAS TÉCNICAS'!F$951+'ESTIMATIVA DE HORAS TÉCNICAS'!M640*'ESTIMATIVA DE HORAS TÉCNICAS'!F$950+'ESTIMATIVA DE HORAS TÉCNICAS'!N640*'ESTIMATIVA DE HORAS TÉCNICAS'!F$949+'ESTIMATIVA DE HORAS TÉCNICAS'!O640*'ESTIMATIVA DE HORAS TÉCNICAS'!F$948+'ESTIMATIVA DE HORAS TÉCNICAS'!P640*'ESTIMATIVA DE HORAS TÉCNICAS'!$F$947+'ESTIMATIVA DE HORAS TÉCNICAS'!Q640*'ESTIMATIVA DE HORAS TÉCNICAS'!F$953+'ESTIMATIVA DE HORAS TÉCNICAS'!R640*'ESTIMATIVA DE HORAS TÉCNICAS'!F$954</f>
        <v>1762.0534680562707</v>
      </c>
      <c r="E632" s="411">
        <f>'CALCULO DO FATO K'!D$10</f>
        <v>2.3175723620309046</v>
      </c>
      <c r="F632" s="714"/>
      <c r="G632" s="714"/>
      <c r="H632" s="411">
        <f t="shared" si="38"/>
        <v>4083.6864179879185</v>
      </c>
      <c r="I632" s="416"/>
      <c r="J632" s="767"/>
    </row>
    <row r="633" spans="1:10" ht="15.75">
      <c r="A633" s="426" t="s">
        <v>626</v>
      </c>
      <c r="B633" s="768" t="s">
        <v>597</v>
      </c>
      <c r="C633" s="409"/>
      <c r="D633" s="787">
        <f>'ESTIMATIVA DE HORAS TÉCNICAS'!F641*'ESTIMATIVA DE HORAS TÉCNICAS'!F$943+'ESTIMATIVA DE HORAS TÉCNICAS'!G641*'ESTIMATIVA DE HORAS TÉCNICAS'!F$942+'ESTIMATIVA DE HORAS TÉCNICAS'!H641*'ESTIMATIVA DE HORAS TÉCNICAS'!F$941+'ESTIMATIVA DE HORAS TÉCNICAS'!I641*'ESTIMATIVA DE HORAS TÉCNICAS'!F$945+'ESTIMATIVA DE HORAS TÉCNICAS'!J641*'ESTIMATIVA DE HORAS TÉCNICAS'!F$946+'ESTIMATIVA DE HORAS TÉCNICAS'!K641*'ESTIMATIVA DE HORAS TÉCNICAS'!$F$944+'ESTIMATIVA DE HORAS TÉCNICAS'!L641*'ESTIMATIVA DE HORAS TÉCNICAS'!F$951+'ESTIMATIVA DE HORAS TÉCNICAS'!M641*'ESTIMATIVA DE HORAS TÉCNICAS'!F$950+'ESTIMATIVA DE HORAS TÉCNICAS'!N641*'ESTIMATIVA DE HORAS TÉCNICAS'!F$949+'ESTIMATIVA DE HORAS TÉCNICAS'!O641*'ESTIMATIVA DE HORAS TÉCNICAS'!F$948+'ESTIMATIVA DE HORAS TÉCNICAS'!P641*'ESTIMATIVA DE HORAS TÉCNICAS'!$F$947+'ESTIMATIVA DE HORAS TÉCNICAS'!Q641*'ESTIMATIVA DE HORAS TÉCNICAS'!F$953+'ESTIMATIVA DE HORAS TÉCNICAS'!R641*'ESTIMATIVA DE HORAS TÉCNICAS'!F$954</f>
        <v>130.53348812287911</v>
      </c>
      <c r="E633" s="411">
        <f>'CALCULO DO FATO K'!D$10</f>
        <v>2.3175723620309046</v>
      </c>
      <c r="F633" s="714"/>
      <c r="G633" s="714"/>
      <c r="H633" s="411">
        <f t="shared" si="38"/>
        <v>302.52080439307394</v>
      </c>
      <c r="I633" s="416"/>
      <c r="J633" s="767"/>
    </row>
    <row r="634" spans="1:10" ht="15.75">
      <c r="A634" s="426" t="s">
        <v>627</v>
      </c>
      <c r="B634" s="768" t="s">
        <v>150</v>
      </c>
      <c r="C634" s="409"/>
      <c r="D634" s="787">
        <f>'ESTIMATIVA DE HORAS TÉCNICAS'!F642*'ESTIMATIVA DE HORAS TÉCNICAS'!F$943+'ESTIMATIVA DE HORAS TÉCNICAS'!G642*'ESTIMATIVA DE HORAS TÉCNICAS'!F$942+'ESTIMATIVA DE HORAS TÉCNICAS'!H642*'ESTIMATIVA DE HORAS TÉCNICAS'!F$941+'ESTIMATIVA DE HORAS TÉCNICAS'!I642*'ESTIMATIVA DE HORAS TÉCNICAS'!F$945+'ESTIMATIVA DE HORAS TÉCNICAS'!J642*'ESTIMATIVA DE HORAS TÉCNICAS'!F$946+'ESTIMATIVA DE HORAS TÉCNICAS'!K642*'ESTIMATIVA DE HORAS TÉCNICAS'!$F$944+'ESTIMATIVA DE HORAS TÉCNICAS'!L642*'ESTIMATIVA DE HORAS TÉCNICAS'!F$951+'ESTIMATIVA DE HORAS TÉCNICAS'!M642*'ESTIMATIVA DE HORAS TÉCNICAS'!F$950+'ESTIMATIVA DE HORAS TÉCNICAS'!N642*'ESTIMATIVA DE HORAS TÉCNICAS'!F$949+'ESTIMATIVA DE HORAS TÉCNICAS'!O642*'ESTIMATIVA DE HORAS TÉCNICAS'!F$948+'ESTIMATIVA DE HORAS TÉCNICAS'!P642*'ESTIMATIVA DE HORAS TÉCNICAS'!$F$947+'ESTIMATIVA DE HORAS TÉCNICAS'!Q642*'ESTIMATIVA DE HORAS TÉCNICAS'!F$953+'ESTIMATIVA DE HORAS TÉCNICAS'!R642*'ESTIMATIVA DE HORAS TÉCNICAS'!F$954</f>
        <v>1438.4937199920155</v>
      </c>
      <c r="E634" s="411">
        <f>'CALCULO DO FATO K'!D$10</f>
        <v>2.3175723620309046</v>
      </c>
      <c r="F634" s="714"/>
      <c r="G634" s="714"/>
      <c r="H634" s="411">
        <f t="shared" si="38"/>
        <v>3333.813288408518</v>
      </c>
      <c r="I634" s="416">
        <f>SUM(H629:H634)</f>
        <v>25410.926875259505</v>
      </c>
      <c r="J634" s="767"/>
    </row>
    <row r="635" spans="1:10" s="532" customFormat="1" ht="15.75">
      <c r="A635" s="426"/>
      <c r="B635" s="768"/>
      <c r="C635" s="409"/>
      <c r="D635" s="787"/>
      <c r="E635" s="411"/>
      <c r="F635" s="714"/>
      <c r="G635" s="714"/>
      <c r="H635" s="411"/>
      <c r="I635" s="416"/>
      <c r="J635" s="767"/>
    </row>
    <row r="636" spans="1:10" s="318" customFormat="1" ht="15.75">
      <c r="A636" s="426"/>
      <c r="B636" s="768"/>
      <c r="C636" s="409"/>
      <c r="D636" s="787"/>
      <c r="E636" s="411"/>
      <c r="F636" s="714"/>
      <c r="G636" s="714"/>
      <c r="H636" s="411"/>
      <c r="I636" s="416"/>
      <c r="J636" s="767"/>
    </row>
    <row r="637" spans="1:10" ht="15.75">
      <c r="A637" s="391" t="s">
        <v>628</v>
      </c>
      <c r="B637" s="427" t="s">
        <v>367</v>
      </c>
      <c r="C637" s="474"/>
      <c r="D637" s="796"/>
      <c r="E637" s="475"/>
      <c r="F637" s="475"/>
      <c r="G637" s="475"/>
      <c r="H637" s="475"/>
      <c r="I637" s="476"/>
      <c r="J637" s="767"/>
    </row>
    <row r="638" spans="1:10" ht="15.75">
      <c r="A638" s="426" t="s">
        <v>629</v>
      </c>
      <c r="B638" s="428" t="s">
        <v>326</v>
      </c>
      <c r="C638" s="409"/>
      <c r="D638" s="787">
        <f>'ESTIMATIVA DE HORAS TÉCNICAS'!F646*'ESTIMATIVA DE HORAS TÉCNICAS'!F$943+'ESTIMATIVA DE HORAS TÉCNICAS'!G646*'ESTIMATIVA DE HORAS TÉCNICAS'!F$942+'ESTIMATIVA DE HORAS TÉCNICAS'!H646*'ESTIMATIVA DE HORAS TÉCNICAS'!F$941+'ESTIMATIVA DE HORAS TÉCNICAS'!I646*'ESTIMATIVA DE HORAS TÉCNICAS'!F$945+'ESTIMATIVA DE HORAS TÉCNICAS'!J646*'ESTIMATIVA DE HORAS TÉCNICAS'!F$946+'ESTIMATIVA DE HORAS TÉCNICAS'!K646*'ESTIMATIVA DE HORAS TÉCNICAS'!$F$944+'ESTIMATIVA DE HORAS TÉCNICAS'!L646*'ESTIMATIVA DE HORAS TÉCNICAS'!F$951+'ESTIMATIVA DE HORAS TÉCNICAS'!M646*'ESTIMATIVA DE HORAS TÉCNICAS'!F$950+'ESTIMATIVA DE HORAS TÉCNICAS'!N646*'ESTIMATIVA DE HORAS TÉCNICAS'!F$949+'ESTIMATIVA DE HORAS TÉCNICAS'!O646*'ESTIMATIVA DE HORAS TÉCNICAS'!F$948+'ESTIMATIVA DE HORAS TÉCNICAS'!P646*'ESTIMATIVA DE HORAS TÉCNICAS'!$F$947+'ESTIMATIVA DE HORAS TÉCNICAS'!Q646*'ESTIMATIVA DE HORAS TÉCNICAS'!F$953+'ESTIMATIVA DE HORAS TÉCNICAS'!R646*'ESTIMATIVA DE HORAS TÉCNICAS'!F$954</f>
        <v>1734.6262252713195</v>
      </c>
      <c r="E638" s="411">
        <f>'CALCULO DO FATO K'!D$10</f>
        <v>2.3175723620309046</v>
      </c>
      <c r="F638" s="714"/>
      <c r="G638" s="714"/>
      <c r="H638" s="411">
        <f>D638*E638</f>
        <v>4020.121798142804</v>
      </c>
      <c r="I638" s="416"/>
      <c r="J638" s="767"/>
    </row>
    <row r="639" spans="1:10" ht="15.75">
      <c r="A639" s="426" t="s">
        <v>630</v>
      </c>
      <c r="B639" s="768" t="s">
        <v>135</v>
      </c>
      <c r="C639" s="409"/>
      <c r="D639" s="787">
        <f>'ESTIMATIVA DE HORAS TÉCNICAS'!F647*'ESTIMATIVA DE HORAS TÉCNICAS'!F$943+'ESTIMATIVA DE HORAS TÉCNICAS'!G647*'ESTIMATIVA DE HORAS TÉCNICAS'!F$942+'ESTIMATIVA DE HORAS TÉCNICAS'!H647*'ESTIMATIVA DE HORAS TÉCNICAS'!F$941+'ESTIMATIVA DE HORAS TÉCNICAS'!I647*'ESTIMATIVA DE HORAS TÉCNICAS'!F$945+'ESTIMATIVA DE HORAS TÉCNICAS'!J647*'ESTIMATIVA DE HORAS TÉCNICAS'!F$946+'ESTIMATIVA DE HORAS TÉCNICAS'!K647*'ESTIMATIVA DE HORAS TÉCNICAS'!$F$944+'ESTIMATIVA DE HORAS TÉCNICAS'!L647*'ESTIMATIVA DE HORAS TÉCNICAS'!F$951+'ESTIMATIVA DE HORAS TÉCNICAS'!M647*'ESTIMATIVA DE HORAS TÉCNICAS'!F$950+'ESTIMATIVA DE HORAS TÉCNICAS'!N647*'ESTIMATIVA DE HORAS TÉCNICAS'!F$949+'ESTIMATIVA DE HORAS TÉCNICAS'!O647*'ESTIMATIVA DE HORAS TÉCNICAS'!F$948+'ESTIMATIVA DE HORAS TÉCNICAS'!P647*'ESTIMATIVA DE HORAS TÉCNICAS'!$F$947+'ESTIMATIVA DE HORAS TÉCNICAS'!Q647*'ESTIMATIVA DE HORAS TÉCNICAS'!F$953+'ESTIMATIVA DE HORAS TÉCNICAS'!R647*'ESTIMATIVA DE HORAS TÉCNICAS'!F$954</f>
        <v>983.81383230198674</v>
      </c>
      <c r="E639" s="411">
        <f>'CALCULO DO FATO K'!D$10</f>
        <v>2.3175723620309046</v>
      </c>
      <c r="F639" s="714"/>
      <c r="G639" s="714"/>
      <c r="H639" s="411">
        <f t="shared" ref="H639:H644" si="39">D639*E639</f>
        <v>2280.0597471267915</v>
      </c>
      <c r="I639" s="416"/>
      <c r="J639" s="767"/>
    </row>
    <row r="640" spans="1:10" ht="15.75">
      <c r="A640" s="426" t="s">
        <v>631</v>
      </c>
      <c r="B640" s="768" t="s">
        <v>112</v>
      </c>
      <c r="C640" s="409"/>
      <c r="D640" s="787">
        <f>'ESTIMATIVA DE HORAS TÉCNICAS'!F648*'ESTIMATIVA DE HORAS TÉCNICAS'!F$943+'ESTIMATIVA DE HORAS TÉCNICAS'!G648*'ESTIMATIVA DE HORAS TÉCNICAS'!F$942+'ESTIMATIVA DE HORAS TÉCNICAS'!H648*'ESTIMATIVA DE HORAS TÉCNICAS'!F$941+'ESTIMATIVA DE HORAS TÉCNICAS'!I648*'ESTIMATIVA DE HORAS TÉCNICAS'!F$945+'ESTIMATIVA DE HORAS TÉCNICAS'!J648*'ESTIMATIVA DE HORAS TÉCNICAS'!F$946+'ESTIMATIVA DE HORAS TÉCNICAS'!K648*'ESTIMATIVA DE HORAS TÉCNICAS'!$F$944+'ESTIMATIVA DE HORAS TÉCNICAS'!L648*'ESTIMATIVA DE HORAS TÉCNICAS'!F$951+'ESTIMATIVA DE HORAS TÉCNICAS'!M648*'ESTIMATIVA DE HORAS TÉCNICAS'!F$950+'ESTIMATIVA DE HORAS TÉCNICAS'!N648*'ESTIMATIVA DE HORAS TÉCNICAS'!F$949+'ESTIMATIVA DE HORAS TÉCNICAS'!O648*'ESTIMATIVA DE HORAS TÉCNICAS'!F$948+'ESTIMATIVA DE HORAS TÉCNICAS'!P648*'ESTIMATIVA DE HORAS TÉCNICAS'!$F$947+'ESTIMATIVA DE HORAS TÉCNICAS'!Q648*'ESTIMATIVA DE HORAS TÉCNICAS'!F$953+'ESTIMATIVA DE HORAS TÉCNICAS'!R648*'ESTIMATIVA DE HORAS TÉCNICAS'!F$954</f>
        <v>664.51907378418412</v>
      </c>
      <c r="E640" s="411">
        <f>'CALCULO DO FATO K'!D$10</f>
        <v>2.3175723620309046</v>
      </c>
      <c r="F640" s="714"/>
      <c r="G640" s="714"/>
      <c r="H640" s="411">
        <f t="shared" si="39"/>
        <v>1540.0710394446005</v>
      </c>
      <c r="I640" s="416"/>
      <c r="J640" s="767"/>
    </row>
    <row r="641" spans="1:10" ht="15.75">
      <c r="A641" s="426" t="s">
        <v>632</v>
      </c>
      <c r="B641" s="768" t="s">
        <v>105</v>
      </c>
      <c r="C641" s="409"/>
      <c r="D641" s="787">
        <f>'ESTIMATIVA DE HORAS TÉCNICAS'!F649*'ESTIMATIVA DE HORAS TÉCNICAS'!F$943+'ESTIMATIVA DE HORAS TÉCNICAS'!G649*'ESTIMATIVA DE HORAS TÉCNICAS'!F$942+'ESTIMATIVA DE HORAS TÉCNICAS'!H649*'ESTIMATIVA DE HORAS TÉCNICAS'!F$941+'ESTIMATIVA DE HORAS TÉCNICAS'!I649*'ESTIMATIVA DE HORAS TÉCNICAS'!F$945+'ESTIMATIVA DE HORAS TÉCNICAS'!J649*'ESTIMATIVA DE HORAS TÉCNICAS'!F$946+'ESTIMATIVA DE HORAS TÉCNICAS'!K649*'ESTIMATIVA DE HORAS TÉCNICAS'!$F$944+'ESTIMATIVA DE HORAS TÉCNICAS'!L649*'ESTIMATIVA DE HORAS TÉCNICAS'!F$951+'ESTIMATIVA DE HORAS TÉCNICAS'!M649*'ESTIMATIVA DE HORAS TÉCNICAS'!F$950+'ESTIMATIVA DE HORAS TÉCNICAS'!N649*'ESTIMATIVA DE HORAS TÉCNICAS'!F$949+'ESTIMATIVA DE HORAS TÉCNICAS'!O649*'ESTIMATIVA DE HORAS TÉCNICAS'!F$948+'ESTIMATIVA DE HORAS TÉCNICAS'!P649*'ESTIMATIVA DE HORAS TÉCNICAS'!$F$947+'ESTIMATIVA DE HORAS TÉCNICAS'!Q649*'ESTIMATIVA DE HORAS TÉCNICAS'!F$953+'ESTIMATIVA DE HORAS TÉCNICAS'!R649*'ESTIMATIVA DE HORAS TÉCNICAS'!F$954</f>
        <v>1164.6829528382168</v>
      </c>
      <c r="E641" s="411">
        <f>'CALCULO DO FATO K'!D$10</f>
        <v>2.3175723620309046</v>
      </c>
      <c r="F641" s="714"/>
      <c r="G641" s="714"/>
      <c r="H641" s="411">
        <f t="shared" si="39"/>
        <v>2699.2370220263947</v>
      </c>
      <c r="I641" s="416"/>
      <c r="J641" s="767"/>
    </row>
    <row r="642" spans="1:10" ht="15.75">
      <c r="A642" s="426" t="s">
        <v>633</v>
      </c>
      <c r="B642" s="768" t="s">
        <v>595</v>
      </c>
      <c r="C642" s="409"/>
      <c r="D642" s="787">
        <f>'ESTIMATIVA DE HORAS TÉCNICAS'!F650*'ESTIMATIVA DE HORAS TÉCNICAS'!F$943+'ESTIMATIVA DE HORAS TÉCNICAS'!G650*'ESTIMATIVA DE HORAS TÉCNICAS'!F$942+'ESTIMATIVA DE HORAS TÉCNICAS'!H650*'ESTIMATIVA DE HORAS TÉCNICAS'!F$941+'ESTIMATIVA DE HORAS TÉCNICAS'!I650*'ESTIMATIVA DE HORAS TÉCNICAS'!F$945+'ESTIMATIVA DE HORAS TÉCNICAS'!J650*'ESTIMATIVA DE HORAS TÉCNICAS'!F$946+'ESTIMATIVA DE HORAS TÉCNICAS'!K650*'ESTIMATIVA DE HORAS TÉCNICAS'!$F$944+'ESTIMATIVA DE HORAS TÉCNICAS'!L650*'ESTIMATIVA DE HORAS TÉCNICAS'!F$951+'ESTIMATIVA DE HORAS TÉCNICAS'!M650*'ESTIMATIVA DE HORAS TÉCNICAS'!F$950+'ESTIMATIVA DE HORAS TÉCNICAS'!N650*'ESTIMATIVA DE HORAS TÉCNICAS'!F$949+'ESTIMATIVA DE HORAS TÉCNICAS'!O650*'ESTIMATIVA DE HORAS TÉCNICAS'!F$948+'ESTIMATIVA DE HORAS TÉCNICAS'!P650*'ESTIMATIVA DE HORAS TÉCNICAS'!$F$947+'ESTIMATIVA DE HORAS TÉCNICAS'!Q650*'ESTIMATIVA DE HORAS TÉCNICAS'!F$953+'ESTIMATIVA DE HORAS TÉCNICAS'!R650*'ESTIMATIVA DE HORAS TÉCNICAS'!F$954</f>
        <v>1341.2870838279944</v>
      </c>
      <c r="E642" s="411">
        <f>'CALCULO DO FATO K'!D$10</f>
        <v>2.3175723620309046</v>
      </c>
      <c r="F642" s="714"/>
      <c r="G642" s="714"/>
      <c r="H642" s="411">
        <f t="shared" si="39"/>
        <v>3108.5298750287889</v>
      </c>
      <c r="I642" s="416"/>
      <c r="J642" s="767"/>
    </row>
    <row r="643" spans="1:10" ht="15.75">
      <c r="A643" s="426" t="s">
        <v>634</v>
      </c>
      <c r="B643" s="768" t="s">
        <v>597</v>
      </c>
      <c r="C643" s="409"/>
      <c r="D643" s="787">
        <f>'ESTIMATIVA DE HORAS TÉCNICAS'!F651*'ESTIMATIVA DE HORAS TÉCNICAS'!F$943+'ESTIMATIVA DE HORAS TÉCNICAS'!G651*'ESTIMATIVA DE HORAS TÉCNICAS'!F$942+'ESTIMATIVA DE HORAS TÉCNICAS'!H651*'ESTIMATIVA DE HORAS TÉCNICAS'!F$941+'ESTIMATIVA DE HORAS TÉCNICAS'!I651*'ESTIMATIVA DE HORAS TÉCNICAS'!F$945+'ESTIMATIVA DE HORAS TÉCNICAS'!J651*'ESTIMATIVA DE HORAS TÉCNICAS'!F$946+'ESTIMATIVA DE HORAS TÉCNICAS'!K651*'ESTIMATIVA DE HORAS TÉCNICAS'!$F$944+'ESTIMATIVA DE HORAS TÉCNICAS'!L651*'ESTIMATIVA DE HORAS TÉCNICAS'!F$951+'ESTIMATIVA DE HORAS TÉCNICAS'!M651*'ESTIMATIVA DE HORAS TÉCNICAS'!F$950+'ESTIMATIVA DE HORAS TÉCNICAS'!N651*'ESTIMATIVA DE HORAS TÉCNICAS'!F$949+'ESTIMATIVA DE HORAS TÉCNICAS'!O651*'ESTIMATIVA DE HORAS TÉCNICAS'!F$948+'ESTIMATIVA DE HORAS TÉCNICAS'!P651*'ESTIMATIVA DE HORAS TÉCNICAS'!$F$947+'ESTIMATIVA DE HORAS TÉCNICAS'!Q651*'ESTIMATIVA DE HORAS TÉCNICAS'!F$953+'ESTIMATIVA DE HORAS TÉCNICAS'!R651*'ESTIMATIVA DE HORAS TÉCNICAS'!F$954</f>
        <v>176.60413098977762</v>
      </c>
      <c r="E643" s="411">
        <f>'CALCULO DO FATO K'!D$10</f>
        <v>2.3175723620309046</v>
      </c>
      <c r="F643" s="714"/>
      <c r="G643" s="714"/>
      <c r="H643" s="411">
        <f t="shared" si="39"/>
        <v>409.29285300239417</v>
      </c>
      <c r="I643" s="416"/>
      <c r="J643" s="767"/>
    </row>
    <row r="644" spans="1:10" ht="15.75">
      <c r="A644" s="426" t="s">
        <v>635</v>
      </c>
      <c r="B644" s="768" t="s">
        <v>150</v>
      </c>
      <c r="C644" s="409"/>
      <c r="D644" s="787">
        <f>'ESTIMATIVA DE HORAS TÉCNICAS'!F652*'ESTIMATIVA DE HORAS TÉCNICAS'!F$943+'ESTIMATIVA DE HORAS TÉCNICAS'!G652*'ESTIMATIVA DE HORAS TÉCNICAS'!F$942+'ESTIMATIVA DE HORAS TÉCNICAS'!H652*'ESTIMATIVA DE HORAS TÉCNICAS'!F$941+'ESTIMATIVA DE HORAS TÉCNICAS'!I652*'ESTIMATIVA DE HORAS TÉCNICAS'!F$945+'ESTIMATIVA DE HORAS TÉCNICAS'!J652*'ESTIMATIVA DE HORAS TÉCNICAS'!F$946+'ESTIMATIVA DE HORAS TÉCNICAS'!K652*'ESTIMATIVA DE HORAS TÉCNICAS'!$F$944+'ESTIMATIVA DE HORAS TÉCNICAS'!L652*'ESTIMATIVA DE HORAS TÉCNICAS'!F$951+'ESTIMATIVA DE HORAS TÉCNICAS'!M652*'ESTIMATIVA DE HORAS TÉCNICAS'!F$950+'ESTIMATIVA DE HORAS TÉCNICAS'!N652*'ESTIMATIVA DE HORAS TÉCNICAS'!F$949+'ESTIMATIVA DE HORAS TÉCNICAS'!O652*'ESTIMATIVA DE HORAS TÉCNICAS'!F$948+'ESTIMATIVA DE HORAS TÉCNICAS'!P652*'ESTIMATIVA DE HORAS TÉCNICAS'!$F$947+'ESTIMATIVA DE HORAS TÉCNICAS'!Q652*'ESTIMATIVA DE HORAS TÉCNICAS'!F$953+'ESTIMATIVA DE HORAS TÉCNICAS'!R652*'ESTIMATIVA DE HORAS TÉCNICAS'!F$954</f>
        <v>397.60413098977762</v>
      </c>
      <c r="E644" s="411">
        <f>'CALCULO DO FATO K'!D$10</f>
        <v>2.3175723620309046</v>
      </c>
      <c r="F644" s="714"/>
      <c r="G644" s="714"/>
      <c r="H644" s="411">
        <f t="shared" si="39"/>
        <v>921.47634501122411</v>
      </c>
      <c r="I644" s="416">
        <f>SUM(H638:H644)</f>
        <v>14978.788679782998</v>
      </c>
      <c r="J644" s="767"/>
    </row>
    <row r="645" spans="1:10" s="532" customFormat="1" ht="15.75">
      <c r="A645" s="426"/>
      <c r="B645" s="768"/>
      <c r="C645" s="409"/>
      <c r="D645" s="787"/>
      <c r="E645" s="411"/>
      <c r="F645" s="714"/>
      <c r="G645" s="714"/>
      <c r="H645" s="411"/>
      <c r="I645" s="416"/>
      <c r="J645" s="767"/>
    </row>
    <row r="646" spans="1:10" s="318" customFormat="1" ht="15.75">
      <c r="A646" s="426"/>
      <c r="B646" s="768"/>
      <c r="C646" s="409"/>
      <c r="D646" s="787"/>
      <c r="E646" s="411"/>
      <c r="F646" s="714"/>
      <c r="G646" s="714"/>
      <c r="H646" s="411"/>
      <c r="I646" s="416"/>
      <c r="J646" s="767"/>
    </row>
    <row r="647" spans="1:10" s="318" customFormat="1" ht="15.75">
      <c r="A647" s="391" t="s">
        <v>636</v>
      </c>
      <c r="B647" s="427" t="s">
        <v>376</v>
      </c>
      <c r="C647" s="474"/>
      <c r="D647" s="796"/>
      <c r="E647" s="480"/>
      <c r="F647" s="475"/>
      <c r="G647" s="475"/>
      <c r="H647" s="480"/>
      <c r="I647" s="476"/>
      <c r="J647" s="767"/>
    </row>
    <row r="648" spans="1:10" ht="15.75">
      <c r="A648" s="852" t="s">
        <v>637</v>
      </c>
      <c r="B648" s="364" t="s">
        <v>378</v>
      </c>
      <c r="C648" s="474"/>
      <c r="D648" s="796"/>
      <c r="E648" s="475"/>
      <c r="F648" s="475"/>
      <c r="G648" s="475"/>
      <c r="H648" s="475"/>
      <c r="I648" s="476"/>
      <c r="J648" s="767"/>
    </row>
    <row r="649" spans="1:10" ht="15.75">
      <c r="A649" s="426" t="s">
        <v>638</v>
      </c>
      <c r="B649" s="428" t="s">
        <v>326</v>
      </c>
      <c r="C649" s="409"/>
      <c r="D649" s="787">
        <f>'ESTIMATIVA DE HORAS TÉCNICAS'!F657*'ESTIMATIVA DE HORAS TÉCNICAS'!F$943+'ESTIMATIVA DE HORAS TÉCNICAS'!G657*'ESTIMATIVA DE HORAS TÉCNICAS'!F$942+'ESTIMATIVA DE HORAS TÉCNICAS'!H657*'ESTIMATIVA DE HORAS TÉCNICAS'!F$941+'ESTIMATIVA DE HORAS TÉCNICAS'!I657*'ESTIMATIVA DE HORAS TÉCNICAS'!F$945+'ESTIMATIVA DE HORAS TÉCNICAS'!J657*'ESTIMATIVA DE HORAS TÉCNICAS'!F$946+'ESTIMATIVA DE HORAS TÉCNICAS'!K657*'ESTIMATIVA DE HORAS TÉCNICAS'!$F$944+'ESTIMATIVA DE HORAS TÉCNICAS'!L657*'ESTIMATIVA DE HORAS TÉCNICAS'!F$951+'ESTIMATIVA DE HORAS TÉCNICAS'!M657*'ESTIMATIVA DE HORAS TÉCNICAS'!F$950+'ESTIMATIVA DE HORAS TÉCNICAS'!N657*'ESTIMATIVA DE HORAS TÉCNICAS'!F$949+'ESTIMATIVA DE HORAS TÉCNICAS'!O657*'ESTIMATIVA DE HORAS TÉCNICAS'!F$948+'ESTIMATIVA DE HORAS TÉCNICAS'!P657*'ESTIMATIVA DE HORAS TÉCNICAS'!$F$947+'ESTIMATIVA DE HORAS TÉCNICAS'!Q657*'ESTIMATIVA DE HORAS TÉCNICAS'!F$953+'ESTIMATIVA DE HORAS TÉCNICAS'!R657*'ESTIMATIVA DE HORAS TÉCNICAS'!F$954</f>
        <v>5904.234858115421</v>
      </c>
      <c r="E649" s="411">
        <f>'CALCULO DO FATO K'!D$10</f>
        <v>2.3175723620309046</v>
      </c>
      <c r="F649" s="714"/>
      <c r="G649" s="714"/>
      <c r="H649" s="411">
        <f>D649*E649</f>
        <v>13683.491526107759</v>
      </c>
      <c r="I649" s="416"/>
      <c r="J649" s="767"/>
    </row>
    <row r="650" spans="1:10" ht="15.75">
      <c r="A650" s="426" t="s">
        <v>639</v>
      </c>
      <c r="B650" s="428" t="s">
        <v>135</v>
      </c>
      <c r="C650" s="409"/>
      <c r="D650" s="787">
        <f>'ESTIMATIVA DE HORAS TÉCNICAS'!F658*'ESTIMATIVA DE HORAS TÉCNICAS'!F$943+'ESTIMATIVA DE HORAS TÉCNICAS'!G658*'ESTIMATIVA DE HORAS TÉCNICAS'!F$942+'ESTIMATIVA DE HORAS TÉCNICAS'!H658*'ESTIMATIVA DE HORAS TÉCNICAS'!F$941+'ESTIMATIVA DE HORAS TÉCNICAS'!I658*'ESTIMATIVA DE HORAS TÉCNICAS'!F$945+'ESTIMATIVA DE HORAS TÉCNICAS'!J658*'ESTIMATIVA DE HORAS TÉCNICAS'!F$946+'ESTIMATIVA DE HORAS TÉCNICAS'!K658*'ESTIMATIVA DE HORAS TÉCNICAS'!$F$944+'ESTIMATIVA DE HORAS TÉCNICAS'!L658*'ESTIMATIVA DE HORAS TÉCNICAS'!F$951+'ESTIMATIVA DE HORAS TÉCNICAS'!M658*'ESTIMATIVA DE HORAS TÉCNICAS'!F$950+'ESTIMATIVA DE HORAS TÉCNICAS'!N658*'ESTIMATIVA DE HORAS TÉCNICAS'!F$949+'ESTIMATIVA DE HORAS TÉCNICAS'!O658*'ESTIMATIVA DE HORAS TÉCNICAS'!F$948+'ESTIMATIVA DE HORAS TÉCNICAS'!P658*'ESTIMATIVA DE HORAS TÉCNICAS'!$F$947+'ESTIMATIVA DE HORAS TÉCNICAS'!Q658*'ESTIMATIVA DE HORAS TÉCNICAS'!F$953+'ESTIMATIVA DE HORAS TÉCNICAS'!R658*'ESTIMATIVA DE HORAS TÉCNICAS'!F$954</f>
        <v>5904.234858115421</v>
      </c>
      <c r="E650" s="411">
        <f>'CALCULO DO FATO K'!D$10</f>
        <v>2.3175723620309046</v>
      </c>
      <c r="F650" s="714"/>
      <c r="G650" s="714"/>
      <c r="H650" s="411">
        <f t="shared" ref="H650:H657" si="40">D650*E650</f>
        <v>13683.491526107759</v>
      </c>
      <c r="I650" s="416"/>
      <c r="J650" s="767"/>
    </row>
    <row r="651" spans="1:10" ht="15.75">
      <c r="A651" s="426" t="s">
        <v>640</v>
      </c>
      <c r="B651" s="428" t="s">
        <v>137</v>
      </c>
      <c r="C651" s="409"/>
      <c r="D651" s="787">
        <f>'ESTIMATIVA DE HORAS TÉCNICAS'!F659*'ESTIMATIVA DE HORAS TÉCNICAS'!F$943+'ESTIMATIVA DE HORAS TÉCNICAS'!G659*'ESTIMATIVA DE HORAS TÉCNICAS'!F$942+'ESTIMATIVA DE HORAS TÉCNICAS'!H659*'ESTIMATIVA DE HORAS TÉCNICAS'!F$941+'ESTIMATIVA DE HORAS TÉCNICAS'!I659*'ESTIMATIVA DE HORAS TÉCNICAS'!F$945+'ESTIMATIVA DE HORAS TÉCNICAS'!J659*'ESTIMATIVA DE HORAS TÉCNICAS'!F$946+'ESTIMATIVA DE HORAS TÉCNICAS'!K659*'ESTIMATIVA DE HORAS TÉCNICAS'!$F$944+'ESTIMATIVA DE HORAS TÉCNICAS'!L659*'ESTIMATIVA DE HORAS TÉCNICAS'!F$951+'ESTIMATIVA DE HORAS TÉCNICAS'!M659*'ESTIMATIVA DE HORAS TÉCNICAS'!F$950+'ESTIMATIVA DE HORAS TÉCNICAS'!N659*'ESTIMATIVA DE HORAS TÉCNICAS'!F$949+'ESTIMATIVA DE HORAS TÉCNICAS'!O659*'ESTIMATIVA DE HORAS TÉCNICAS'!F$948+'ESTIMATIVA DE HORAS TÉCNICAS'!P659*'ESTIMATIVA DE HORAS TÉCNICAS'!$F$947+'ESTIMATIVA DE HORAS TÉCNICAS'!Q659*'ESTIMATIVA DE HORAS TÉCNICAS'!F$953+'ESTIMATIVA DE HORAS TÉCNICAS'!R659*'ESTIMATIVA DE HORAS TÉCNICAS'!F$954</f>
        <v>2226.6152122753015</v>
      </c>
      <c r="E651" s="411">
        <f>'CALCULO DO FATO K'!D$10</f>
        <v>2.3175723620309046</v>
      </c>
      <c r="F651" s="714"/>
      <c r="G651" s="714"/>
      <c r="H651" s="411">
        <f t="shared" si="40"/>
        <v>5160.3418768468146</v>
      </c>
      <c r="I651" s="416"/>
      <c r="J651" s="767"/>
    </row>
    <row r="652" spans="1:10" ht="15.75">
      <c r="A652" s="426" t="s">
        <v>641</v>
      </c>
      <c r="B652" s="768" t="s">
        <v>105</v>
      </c>
      <c r="C652" s="409"/>
      <c r="D652" s="787">
        <f>'ESTIMATIVA DE HORAS TÉCNICAS'!F660*'ESTIMATIVA DE HORAS TÉCNICAS'!F$943+'ESTIMATIVA DE HORAS TÉCNICAS'!G660*'ESTIMATIVA DE HORAS TÉCNICAS'!F$942+'ESTIMATIVA DE HORAS TÉCNICAS'!H660*'ESTIMATIVA DE HORAS TÉCNICAS'!F$941+'ESTIMATIVA DE HORAS TÉCNICAS'!I660*'ESTIMATIVA DE HORAS TÉCNICAS'!F$945+'ESTIMATIVA DE HORAS TÉCNICAS'!J660*'ESTIMATIVA DE HORAS TÉCNICAS'!F$946+'ESTIMATIVA DE HORAS TÉCNICAS'!K660*'ESTIMATIVA DE HORAS TÉCNICAS'!$F$944+'ESTIMATIVA DE HORAS TÉCNICAS'!L660*'ESTIMATIVA DE HORAS TÉCNICAS'!F$951+'ESTIMATIVA DE HORAS TÉCNICAS'!M660*'ESTIMATIVA DE HORAS TÉCNICAS'!F$950+'ESTIMATIVA DE HORAS TÉCNICAS'!N660*'ESTIMATIVA DE HORAS TÉCNICAS'!F$949+'ESTIMATIVA DE HORAS TÉCNICAS'!O660*'ESTIMATIVA DE HORAS TÉCNICAS'!F$948+'ESTIMATIVA DE HORAS TÉCNICAS'!P660*'ESTIMATIVA DE HORAS TÉCNICAS'!$F$947+'ESTIMATIVA DE HORAS TÉCNICAS'!Q660*'ESTIMATIVA DE HORAS TÉCNICAS'!F$953+'ESTIMATIVA DE HORAS TÉCNICAS'!R660*'ESTIMATIVA DE HORAS TÉCNICAS'!F$954</f>
        <v>4360.6579562526922</v>
      </c>
      <c r="E652" s="411">
        <f>'CALCULO DO FATO K'!D$10</f>
        <v>2.3175723620309046</v>
      </c>
      <c r="F652" s="714"/>
      <c r="G652" s="714"/>
      <c r="H652" s="411">
        <f t="shared" si="40"/>
        <v>10106.140359681409</v>
      </c>
      <c r="I652" s="416"/>
      <c r="J652" s="767"/>
    </row>
    <row r="653" spans="1:10" ht="15.75">
      <c r="A653" s="426" t="s">
        <v>642</v>
      </c>
      <c r="B653" s="768" t="s">
        <v>595</v>
      </c>
      <c r="C653" s="409"/>
      <c r="D653" s="787">
        <f>'ESTIMATIVA DE HORAS TÉCNICAS'!F661*'ESTIMATIVA DE HORAS TÉCNICAS'!F$943+'ESTIMATIVA DE HORAS TÉCNICAS'!G661*'ESTIMATIVA DE HORAS TÉCNICAS'!F$942+'ESTIMATIVA DE HORAS TÉCNICAS'!H661*'ESTIMATIVA DE HORAS TÉCNICAS'!F$941+'ESTIMATIVA DE HORAS TÉCNICAS'!I661*'ESTIMATIVA DE HORAS TÉCNICAS'!F$945+'ESTIMATIVA DE HORAS TÉCNICAS'!J661*'ESTIMATIVA DE HORAS TÉCNICAS'!F$946+'ESTIMATIVA DE HORAS TÉCNICAS'!K661*'ESTIMATIVA DE HORAS TÉCNICAS'!$F$944+'ESTIMATIVA DE HORAS TÉCNICAS'!L661*'ESTIMATIVA DE HORAS TÉCNICAS'!F$951+'ESTIMATIVA DE HORAS TÉCNICAS'!M661*'ESTIMATIVA DE HORAS TÉCNICAS'!F$950+'ESTIMATIVA DE HORAS TÉCNICAS'!N661*'ESTIMATIVA DE HORAS TÉCNICAS'!F$949+'ESTIMATIVA DE HORAS TÉCNICAS'!O661*'ESTIMATIVA DE HORAS TÉCNICAS'!F$948+'ESTIMATIVA DE HORAS TÉCNICAS'!P661*'ESTIMATIVA DE HORAS TÉCNICAS'!$F$947+'ESTIMATIVA DE HORAS TÉCNICAS'!Q661*'ESTIMATIVA DE HORAS TÉCNICAS'!F$953+'ESTIMATIVA DE HORAS TÉCNICAS'!R661*'ESTIMATIVA DE HORAS TÉCNICAS'!F$954</f>
        <v>4360.6579562526922</v>
      </c>
      <c r="E653" s="411">
        <f>'CALCULO DO FATO K'!D$10</f>
        <v>2.3175723620309046</v>
      </c>
      <c r="F653" s="714"/>
      <c r="G653" s="714"/>
      <c r="H653" s="411">
        <f t="shared" si="40"/>
        <v>10106.140359681409</v>
      </c>
      <c r="I653" s="416"/>
      <c r="J653" s="767"/>
    </row>
    <row r="654" spans="1:10" ht="15.75">
      <c r="A654" s="426" t="s">
        <v>643</v>
      </c>
      <c r="B654" s="768" t="s">
        <v>386</v>
      </c>
      <c r="C654" s="409"/>
      <c r="D654" s="787">
        <f>'ESTIMATIVA DE HORAS TÉCNICAS'!F662*'ESTIMATIVA DE HORAS TÉCNICAS'!F$943+'ESTIMATIVA DE HORAS TÉCNICAS'!G662*'ESTIMATIVA DE HORAS TÉCNICAS'!F$942+'ESTIMATIVA DE HORAS TÉCNICAS'!H662*'ESTIMATIVA DE HORAS TÉCNICAS'!F$941+'ESTIMATIVA DE HORAS TÉCNICAS'!I662*'ESTIMATIVA DE HORAS TÉCNICAS'!F$945+'ESTIMATIVA DE HORAS TÉCNICAS'!J662*'ESTIMATIVA DE HORAS TÉCNICAS'!F$946+'ESTIMATIVA DE HORAS TÉCNICAS'!K662*'ESTIMATIVA DE HORAS TÉCNICAS'!$F$944+'ESTIMATIVA DE HORAS TÉCNICAS'!L662*'ESTIMATIVA DE HORAS TÉCNICAS'!F$951+'ESTIMATIVA DE HORAS TÉCNICAS'!M662*'ESTIMATIVA DE HORAS TÉCNICAS'!F$950+'ESTIMATIVA DE HORAS TÉCNICAS'!N662*'ESTIMATIVA DE HORAS TÉCNICAS'!F$949+'ESTIMATIVA DE HORAS TÉCNICAS'!O662*'ESTIMATIVA DE HORAS TÉCNICAS'!F$948+'ESTIMATIVA DE HORAS TÉCNICAS'!P662*'ESTIMATIVA DE HORAS TÉCNICAS'!$F$947+'ESTIMATIVA DE HORAS TÉCNICAS'!Q662*'ESTIMATIVA DE HORAS TÉCNICAS'!F$953+'ESTIMATIVA DE HORAS TÉCNICAS'!R662*'ESTIMATIVA DE HORAS TÉCNICAS'!F$954</f>
        <v>3313.9290183120938</v>
      </c>
      <c r="E654" s="411">
        <f>'CALCULO DO FATO K'!D$10</f>
        <v>2.3175723620309046</v>
      </c>
      <c r="F654" s="714"/>
      <c r="G654" s="714"/>
      <c r="H654" s="411">
        <f t="shared" si="40"/>
        <v>7680.2703025723158</v>
      </c>
      <c r="I654" s="416"/>
      <c r="J654" s="767"/>
    </row>
    <row r="655" spans="1:10" s="318" customFormat="1" ht="15.75">
      <c r="A655" s="426" t="s">
        <v>644</v>
      </c>
      <c r="B655" s="768" t="s">
        <v>388</v>
      </c>
      <c r="C655" s="409"/>
      <c r="D655" s="787">
        <f>'ESTIMATIVA DE HORAS TÉCNICAS'!F663*'ESTIMATIVA DE HORAS TÉCNICAS'!F$943+'ESTIMATIVA DE HORAS TÉCNICAS'!G663*'ESTIMATIVA DE HORAS TÉCNICAS'!F$942+'ESTIMATIVA DE HORAS TÉCNICAS'!H663*'ESTIMATIVA DE HORAS TÉCNICAS'!F$941+'ESTIMATIVA DE HORAS TÉCNICAS'!I663*'ESTIMATIVA DE HORAS TÉCNICAS'!F$945+'ESTIMATIVA DE HORAS TÉCNICAS'!J663*'ESTIMATIVA DE HORAS TÉCNICAS'!F$946+'ESTIMATIVA DE HORAS TÉCNICAS'!K663*'ESTIMATIVA DE HORAS TÉCNICAS'!$F$944+'ESTIMATIVA DE HORAS TÉCNICAS'!L663*'ESTIMATIVA DE HORAS TÉCNICAS'!F$951+'ESTIMATIVA DE HORAS TÉCNICAS'!M663*'ESTIMATIVA DE HORAS TÉCNICAS'!F$950+'ESTIMATIVA DE HORAS TÉCNICAS'!N663*'ESTIMATIVA DE HORAS TÉCNICAS'!F$949+'ESTIMATIVA DE HORAS TÉCNICAS'!O663*'ESTIMATIVA DE HORAS TÉCNICAS'!F$948+'ESTIMATIVA DE HORAS TÉCNICAS'!P663*'ESTIMATIVA DE HORAS TÉCNICAS'!$F$947+'ESTIMATIVA DE HORAS TÉCNICAS'!Q663*'ESTIMATIVA DE HORAS TÉCNICAS'!F$953+'ESTIMATIVA DE HORAS TÉCNICAS'!R663*'ESTIMATIVA DE HORAS TÉCNICAS'!F$954</f>
        <v>3313.9290183120938</v>
      </c>
      <c r="E655" s="411">
        <f>'CALCULO DO FATO K'!D$10</f>
        <v>2.3175723620309046</v>
      </c>
      <c r="F655" s="714"/>
      <c r="G655" s="714"/>
      <c r="H655" s="411">
        <f t="shared" si="40"/>
        <v>7680.2703025723158</v>
      </c>
      <c r="I655" s="416"/>
      <c r="J655" s="767"/>
    </row>
    <row r="656" spans="1:10" s="318" customFormat="1" ht="15.75">
      <c r="A656" s="426" t="s">
        <v>645</v>
      </c>
      <c r="B656" s="768" t="s">
        <v>646</v>
      </c>
      <c r="C656" s="409"/>
      <c r="D656" s="787">
        <f>'ESTIMATIVA DE HORAS TÉCNICAS'!F664*'ESTIMATIVA DE HORAS TÉCNICAS'!F$943+'ESTIMATIVA DE HORAS TÉCNICAS'!G664*'ESTIMATIVA DE HORAS TÉCNICAS'!F$942+'ESTIMATIVA DE HORAS TÉCNICAS'!H664*'ESTIMATIVA DE HORAS TÉCNICAS'!F$941+'ESTIMATIVA DE HORAS TÉCNICAS'!I664*'ESTIMATIVA DE HORAS TÉCNICAS'!F$945+'ESTIMATIVA DE HORAS TÉCNICAS'!J664*'ESTIMATIVA DE HORAS TÉCNICAS'!F$946+'ESTIMATIVA DE HORAS TÉCNICAS'!K664*'ESTIMATIVA DE HORAS TÉCNICAS'!$F$944+'ESTIMATIVA DE HORAS TÉCNICAS'!L664*'ESTIMATIVA DE HORAS TÉCNICAS'!F$951+'ESTIMATIVA DE HORAS TÉCNICAS'!M664*'ESTIMATIVA DE HORAS TÉCNICAS'!F$950+'ESTIMATIVA DE HORAS TÉCNICAS'!N664*'ESTIMATIVA DE HORAS TÉCNICAS'!F$949+'ESTIMATIVA DE HORAS TÉCNICAS'!O664*'ESTIMATIVA DE HORAS TÉCNICAS'!F$948+'ESTIMATIVA DE HORAS TÉCNICAS'!P664*'ESTIMATIVA DE HORAS TÉCNICAS'!$F$947+'ESTIMATIVA DE HORAS TÉCNICAS'!Q664*'ESTIMATIVA DE HORAS TÉCNICAS'!F$953+'ESTIMATIVA DE HORAS TÉCNICAS'!R664*'ESTIMATIVA DE HORAS TÉCNICAS'!F$954</f>
        <v>442.79006755408011</v>
      </c>
      <c r="E656" s="411">
        <f>'CALCULO DO FATO K'!D$10</f>
        <v>2.3175723620309046</v>
      </c>
      <c r="F656" s="714"/>
      <c r="G656" s="714"/>
      <c r="H656" s="411">
        <f t="shared" si="40"/>
        <v>1026.1980227451331</v>
      </c>
      <c r="I656" s="416"/>
      <c r="J656" s="767"/>
    </row>
    <row r="657" spans="1:10" ht="15.75">
      <c r="A657" s="426" t="s">
        <v>647</v>
      </c>
      <c r="B657" s="768" t="s">
        <v>150</v>
      </c>
      <c r="C657" s="409"/>
      <c r="D657" s="787">
        <f>'ESTIMATIVA DE HORAS TÉCNICAS'!F665*'ESTIMATIVA DE HORAS TÉCNICAS'!F$943+'ESTIMATIVA DE HORAS TÉCNICAS'!G665*'ESTIMATIVA DE HORAS TÉCNICAS'!F$942+'ESTIMATIVA DE HORAS TÉCNICAS'!H665*'ESTIMATIVA DE HORAS TÉCNICAS'!F$941+'ESTIMATIVA DE HORAS TÉCNICAS'!I665*'ESTIMATIVA DE HORAS TÉCNICAS'!F$945+'ESTIMATIVA DE HORAS TÉCNICAS'!J665*'ESTIMATIVA DE HORAS TÉCNICAS'!F$946+'ESTIMATIVA DE HORAS TÉCNICAS'!K665*'ESTIMATIVA DE HORAS TÉCNICAS'!$F$944+'ESTIMATIVA DE HORAS TÉCNICAS'!L665*'ESTIMATIVA DE HORAS TÉCNICAS'!F$951+'ESTIMATIVA DE HORAS TÉCNICAS'!M665*'ESTIMATIVA DE HORAS TÉCNICAS'!F$950+'ESTIMATIVA DE HORAS TÉCNICAS'!N665*'ESTIMATIVA DE HORAS TÉCNICAS'!F$949+'ESTIMATIVA DE HORAS TÉCNICAS'!O665*'ESTIMATIVA DE HORAS TÉCNICAS'!F$948+'ESTIMATIVA DE HORAS TÉCNICAS'!P665*'ESTIMATIVA DE HORAS TÉCNICAS'!$F$947+'ESTIMATIVA DE HORAS TÉCNICAS'!Q665*'ESTIMATIVA DE HORAS TÉCNICAS'!F$953+'ESTIMATIVA DE HORAS TÉCNICAS'!R665*'ESTIMATIVA DE HORAS TÉCNICAS'!F$954</f>
        <v>2669.4052798293819</v>
      </c>
      <c r="E657" s="411">
        <f>'CALCULO DO FATO K'!D$10</f>
        <v>2.3175723620309046</v>
      </c>
      <c r="F657" s="714"/>
      <c r="G657" s="714"/>
      <c r="H657" s="411">
        <f t="shared" si="40"/>
        <v>6186.5398995919486</v>
      </c>
      <c r="I657" s="416">
        <f>SUM(H649:H657)</f>
        <v>75312.88417590686</v>
      </c>
      <c r="J657" s="767"/>
    </row>
    <row r="658" spans="1:10" s="532" customFormat="1" ht="15.75">
      <c r="A658" s="426"/>
      <c r="B658" s="768"/>
      <c r="C658" s="409"/>
      <c r="D658" s="787"/>
      <c r="E658" s="411"/>
      <c r="F658" s="714"/>
      <c r="G658" s="714"/>
      <c r="H658" s="411"/>
      <c r="I658" s="416"/>
      <c r="J658" s="767"/>
    </row>
    <row r="659" spans="1:10" s="318" customFormat="1" ht="15.75">
      <c r="A659" s="426"/>
      <c r="B659" s="768"/>
      <c r="C659" s="409"/>
      <c r="D659" s="787"/>
      <c r="E659" s="411"/>
      <c r="F659" s="714"/>
      <c r="G659" s="714"/>
      <c r="H659" s="411"/>
      <c r="I659" s="416"/>
      <c r="J659" s="767"/>
    </row>
    <row r="660" spans="1:10" s="318" customFormat="1" ht="15.75">
      <c r="A660" s="852" t="s">
        <v>648</v>
      </c>
      <c r="B660" s="364" t="s">
        <v>649</v>
      </c>
      <c r="C660" s="474"/>
      <c r="D660" s="796"/>
      <c r="E660" s="480"/>
      <c r="F660" s="475"/>
      <c r="G660" s="475"/>
      <c r="H660" s="480"/>
      <c r="I660" s="476"/>
      <c r="J660" s="767"/>
    </row>
    <row r="661" spans="1:10" s="318" customFormat="1" ht="15.75">
      <c r="A661" s="426" t="s">
        <v>650</v>
      </c>
      <c r="B661" s="428" t="s">
        <v>326</v>
      </c>
      <c r="C661" s="409"/>
      <c r="D661" s="787">
        <f>'ESTIMATIVA DE HORAS TÉCNICAS'!F669*'ESTIMATIVA DE HORAS TÉCNICAS'!F$943+'ESTIMATIVA DE HORAS TÉCNICAS'!G669*'ESTIMATIVA DE HORAS TÉCNICAS'!F$942+'ESTIMATIVA DE HORAS TÉCNICAS'!H669*'ESTIMATIVA DE HORAS TÉCNICAS'!F$941+'ESTIMATIVA DE HORAS TÉCNICAS'!I669*'ESTIMATIVA DE HORAS TÉCNICAS'!F$945+'ESTIMATIVA DE HORAS TÉCNICAS'!J669*'ESTIMATIVA DE HORAS TÉCNICAS'!F$946+'ESTIMATIVA DE HORAS TÉCNICAS'!K669*'ESTIMATIVA DE HORAS TÉCNICAS'!$F$944+'ESTIMATIVA DE HORAS TÉCNICAS'!L669*'ESTIMATIVA DE HORAS TÉCNICAS'!F$951+'ESTIMATIVA DE HORAS TÉCNICAS'!M669*'ESTIMATIVA DE HORAS TÉCNICAS'!F$950+'ESTIMATIVA DE HORAS TÉCNICAS'!N669*'ESTIMATIVA DE HORAS TÉCNICAS'!F$949+'ESTIMATIVA DE HORAS TÉCNICAS'!O669*'ESTIMATIVA DE HORAS TÉCNICAS'!F$948+'ESTIMATIVA DE HORAS TÉCNICAS'!P669*'ESTIMATIVA DE HORAS TÉCNICAS'!$F$947+'ESTIMATIVA DE HORAS TÉCNICAS'!Q669*'ESTIMATIVA DE HORAS TÉCNICAS'!F$953+'ESTIMATIVA DE HORAS TÉCNICAS'!R669*'ESTIMATIVA DE HORAS TÉCNICAS'!F$954</f>
        <v>4111.1216669468286</v>
      </c>
      <c r="E661" s="411">
        <f>'CALCULO DO FATO K'!D$10</f>
        <v>2.3175723620309046</v>
      </c>
      <c r="F661" s="714"/>
      <c r="G661" s="714"/>
      <c r="H661" s="411">
        <f t="shared" ref="H661:H669" si="41">D661*E661</f>
        <v>9527.8219522623913</v>
      </c>
      <c r="I661" s="416"/>
      <c r="J661" s="767"/>
    </row>
    <row r="662" spans="1:10" s="318" customFormat="1" ht="15.75">
      <c r="A662" s="426" t="s">
        <v>651</v>
      </c>
      <c r="B662" s="428" t="s">
        <v>135</v>
      </c>
      <c r="C662" s="409"/>
      <c r="D662" s="787">
        <f>'ESTIMATIVA DE HORAS TÉCNICAS'!F670*'ESTIMATIVA DE HORAS TÉCNICAS'!F$943+'ESTIMATIVA DE HORAS TÉCNICAS'!G670*'ESTIMATIVA DE HORAS TÉCNICAS'!F$942+'ESTIMATIVA DE HORAS TÉCNICAS'!H670*'ESTIMATIVA DE HORAS TÉCNICAS'!F$941+'ESTIMATIVA DE HORAS TÉCNICAS'!I670*'ESTIMATIVA DE HORAS TÉCNICAS'!F$945+'ESTIMATIVA DE HORAS TÉCNICAS'!J670*'ESTIMATIVA DE HORAS TÉCNICAS'!F$946+'ESTIMATIVA DE HORAS TÉCNICAS'!K670*'ESTIMATIVA DE HORAS TÉCNICAS'!$F$944+'ESTIMATIVA DE HORAS TÉCNICAS'!L670*'ESTIMATIVA DE HORAS TÉCNICAS'!F$951+'ESTIMATIVA DE HORAS TÉCNICAS'!M670*'ESTIMATIVA DE HORAS TÉCNICAS'!F$950+'ESTIMATIVA DE HORAS TÉCNICAS'!N670*'ESTIMATIVA DE HORAS TÉCNICAS'!F$949+'ESTIMATIVA DE HORAS TÉCNICAS'!O670*'ESTIMATIVA DE HORAS TÉCNICAS'!F$948+'ESTIMATIVA DE HORAS TÉCNICAS'!P670*'ESTIMATIVA DE HORAS TÉCNICAS'!$F$947+'ESTIMATIVA DE HORAS TÉCNICAS'!Q670*'ESTIMATIVA DE HORAS TÉCNICAS'!F$953+'ESTIMATIVA DE HORAS TÉCNICAS'!R670*'ESTIMATIVA DE HORAS TÉCNICAS'!F$954</f>
        <v>4474.8122944748529</v>
      </c>
      <c r="E662" s="411">
        <f>'CALCULO DO FATO K'!D$10</f>
        <v>2.3175723620309046</v>
      </c>
      <c r="F662" s="714"/>
      <c r="G662" s="714"/>
      <c r="H662" s="411">
        <f t="shared" si="41"/>
        <v>10370.701298951017</v>
      </c>
      <c r="I662" s="416"/>
      <c r="J662" s="767"/>
    </row>
    <row r="663" spans="1:10" s="318" customFormat="1" ht="15.75">
      <c r="A663" s="426" t="s">
        <v>652</v>
      </c>
      <c r="B663" s="428" t="s">
        <v>137</v>
      </c>
      <c r="C663" s="409"/>
      <c r="D663" s="787">
        <f>'ESTIMATIVA DE HORAS TÉCNICAS'!F671*'ESTIMATIVA DE HORAS TÉCNICAS'!F$943+'ESTIMATIVA DE HORAS TÉCNICAS'!G671*'ESTIMATIVA DE HORAS TÉCNICAS'!F$942+'ESTIMATIVA DE HORAS TÉCNICAS'!H671*'ESTIMATIVA DE HORAS TÉCNICAS'!F$941+'ESTIMATIVA DE HORAS TÉCNICAS'!I671*'ESTIMATIVA DE HORAS TÉCNICAS'!F$945+'ESTIMATIVA DE HORAS TÉCNICAS'!J671*'ESTIMATIVA DE HORAS TÉCNICAS'!F$946+'ESTIMATIVA DE HORAS TÉCNICAS'!K671*'ESTIMATIVA DE HORAS TÉCNICAS'!$F$944+'ESTIMATIVA DE HORAS TÉCNICAS'!L671*'ESTIMATIVA DE HORAS TÉCNICAS'!F$951+'ESTIMATIVA DE HORAS TÉCNICAS'!M671*'ESTIMATIVA DE HORAS TÉCNICAS'!F$950+'ESTIMATIVA DE HORAS TÉCNICAS'!N671*'ESTIMATIVA DE HORAS TÉCNICAS'!F$949+'ESTIMATIVA DE HORAS TÉCNICAS'!O671*'ESTIMATIVA DE HORAS TÉCNICAS'!F$948+'ESTIMATIVA DE HORAS TÉCNICAS'!P671*'ESTIMATIVA DE HORAS TÉCNICAS'!$F$947+'ESTIMATIVA DE HORAS TÉCNICAS'!Q671*'ESTIMATIVA DE HORAS TÉCNICAS'!F$953+'ESTIMATIVA DE HORAS TÉCNICAS'!R671*'ESTIMATIVA DE HORAS TÉCNICAS'!F$954</f>
        <v>4474.8122944748529</v>
      </c>
      <c r="E663" s="411">
        <f>'CALCULO DO FATO K'!D$10</f>
        <v>2.3175723620309046</v>
      </c>
      <c r="F663" s="714"/>
      <c r="G663" s="714"/>
      <c r="H663" s="411">
        <f t="shared" si="41"/>
        <v>10370.701298951017</v>
      </c>
      <c r="I663" s="416"/>
      <c r="J663" s="767"/>
    </row>
    <row r="664" spans="1:10" s="318" customFormat="1" ht="15.75">
      <c r="A664" s="426" t="s">
        <v>653</v>
      </c>
      <c r="B664" s="768" t="s">
        <v>105</v>
      </c>
      <c r="C664" s="409"/>
      <c r="D664" s="787">
        <f>'ESTIMATIVA DE HORAS TÉCNICAS'!F672*'ESTIMATIVA DE HORAS TÉCNICAS'!F$943+'ESTIMATIVA DE HORAS TÉCNICAS'!G672*'ESTIMATIVA DE HORAS TÉCNICAS'!F$942+'ESTIMATIVA DE HORAS TÉCNICAS'!H672*'ESTIMATIVA DE HORAS TÉCNICAS'!F$941+'ESTIMATIVA DE HORAS TÉCNICAS'!I672*'ESTIMATIVA DE HORAS TÉCNICAS'!F$945+'ESTIMATIVA DE HORAS TÉCNICAS'!J672*'ESTIMATIVA DE HORAS TÉCNICAS'!F$946+'ESTIMATIVA DE HORAS TÉCNICAS'!K672*'ESTIMATIVA DE HORAS TÉCNICAS'!$F$944+'ESTIMATIVA DE HORAS TÉCNICAS'!L672*'ESTIMATIVA DE HORAS TÉCNICAS'!F$951+'ESTIMATIVA DE HORAS TÉCNICAS'!M672*'ESTIMATIVA DE HORAS TÉCNICAS'!F$950+'ESTIMATIVA DE HORAS TÉCNICAS'!N672*'ESTIMATIVA DE HORAS TÉCNICAS'!F$949+'ESTIMATIVA DE HORAS TÉCNICAS'!O672*'ESTIMATIVA DE HORAS TÉCNICAS'!F$948+'ESTIMATIVA DE HORAS TÉCNICAS'!P672*'ESTIMATIVA DE HORAS TÉCNICAS'!$F$947+'ESTIMATIVA DE HORAS TÉCNICAS'!Q672*'ESTIMATIVA DE HORAS TÉCNICAS'!F$953+'ESTIMATIVA DE HORAS TÉCNICAS'!R672*'ESTIMATIVA DE HORAS TÉCNICAS'!F$954</f>
        <v>4210.1886392528077</v>
      </c>
      <c r="E664" s="411">
        <f>'CALCULO DO FATO K'!D$10</f>
        <v>2.3175723620309046</v>
      </c>
      <c r="F664" s="714"/>
      <c r="G664" s="714"/>
      <c r="H664" s="411">
        <f t="shared" si="41"/>
        <v>9757.41682926881</v>
      </c>
      <c r="I664" s="416"/>
      <c r="J664" s="767"/>
    </row>
    <row r="665" spans="1:10" s="318" customFormat="1" ht="15.75">
      <c r="A665" s="426" t="s">
        <v>654</v>
      </c>
      <c r="B665" s="768" t="s">
        <v>595</v>
      </c>
      <c r="C665" s="409"/>
      <c r="D665" s="787">
        <f>'ESTIMATIVA DE HORAS TÉCNICAS'!F673*'ESTIMATIVA DE HORAS TÉCNICAS'!F$943+'ESTIMATIVA DE HORAS TÉCNICAS'!G673*'ESTIMATIVA DE HORAS TÉCNICAS'!F$942+'ESTIMATIVA DE HORAS TÉCNICAS'!H673*'ESTIMATIVA DE HORAS TÉCNICAS'!F$941+'ESTIMATIVA DE HORAS TÉCNICAS'!I673*'ESTIMATIVA DE HORAS TÉCNICAS'!F$945+'ESTIMATIVA DE HORAS TÉCNICAS'!J673*'ESTIMATIVA DE HORAS TÉCNICAS'!F$946+'ESTIMATIVA DE HORAS TÉCNICAS'!K673*'ESTIMATIVA DE HORAS TÉCNICAS'!$F$944+'ESTIMATIVA DE HORAS TÉCNICAS'!L673*'ESTIMATIVA DE HORAS TÉCNICAS'!F$951+'ESTIMATIVA DE HORAS TÉCNICAS'!M673*'ESTIMATIVA DE HORAS TÉCNICAS'!F$950+'ESTIMATIVA DE HORAS TÉCNICAS'!N673*'ESTIMATIVA DE HORAS TÉCNICAS'!F$949+'ESTIMATIVA DE HORAS TÉCNICAS'!O673*'ESTIMATIVA DE HORAS TÉCNICAS'!F$948+'ESTIMATIVA DE HORAS TÉCNICAS'!P673*'ESTIMATIVA DE HORAS TÉCNICAS'!$F$947+'ESTIMATIVA DE HORAS TÉCNICAS'!Q673*'ESTIMATIVA DE HORAS TÉCNICAS'!F$953+'ESTIMATIVA DE HORAS TÉCNICAS'!R673*'ESTIMATIVA DE HORAS TÉCNICAS'!F$954</f>
        <v>4252.4593795635774</v>
      </c>
      <c r="E665" s="411">
        <f>'CALCULO DO FATO K'!D$10</f>
        <v>2.3175723620309046</v>
      </c>
      <c r="F665" s="714"/>
      <c r="G665" s="714"/>
      <c r="H665" s="411">
        <f t="shared" si="41"/>
        <v>9855.3823287356354</v>
      </c>
      <c r="I665" s="416"/>
      <c r="J665" s="767"/>
    </row>
    <row r="666" spans="1:10" s="318" customFormat="1" ht="15.75">
      <c r="A666" s="426" t="s">
        <v>655</v>
      </c>
      <c r="B666" s="768" t="s">
        <v>386</v>
      </c>
      <c r="C666" s="409"/>
      <c r="D666" s="787">
        <f>'ESTIMATIVA DE HORAS TÉCNICAS'!F674*'ESTIMATIVA DE HORAS TÉCNICAS'!F$943+'ESTIMATIVA DE HORAS TÉCNICAS'!G674*'ESTIMATIVA DE HORAS TÉCNICAS'!F$942+'ESTIMATIVA DE HORAS TÉCNICAS'!H674*'ESTIMATIVA DE HORAS TÉCNICAS'!F$941+'ESTIMATIVA DE HORAS TÉCNICAS'!I674*'ESTIMATIVA DE HORAS TÉCNICAS'!F$945+'ESTIMATIVA DE HORAS TÉCNICAS'!J674*'ESTIMATIVA DE HORAS TÉCNICAS'!F$946+'ESTIMATIVA DE HORAS TÉCNICAS'!K674*'ESTIMATIVA DE HORAS TÉCNICAS'!$F$944+'ESTIMATIVA DE HORAS TÉCNICAS'!L674*'ESTIMATIVA DE HORAS TÉCNICAS'!F$951+'ESTIMATIVA DE HORAS TÉCNICAS'!M674*'ESTIMATIVA DE HORAS TÉCNICAS'!F$950+'ESTIMATIVA DE HORAS TÉCNICAS'!N674*'ESTIMATIVA DE HORAS TÉCNICAS'!F$949+'ESTIMATIVA DE HORAS TÉCNICAS'!O674*'ESTIMATIVA DE HORAS TÉCNICAS'!F$948+'ESTIMATIVA DE HORAS TÉCNICAS'!P674*'ESTIMATIVA DE HORAS TÉCNICAS'!$F$947+'ESTIMATIVA DE HORAS TÉCNICAS'!Q674*'ESTIMATIVA DE HORAS TÉCNICAS'!F$953+'ESTIMATIVA DE HORAS TÉCNICAS'!R674*'ESTIMATIVA DE HORAS TÉCNICAS'!F$954</f>
        <v>2915.958519378461</v>
      </c>
      <c r="E666" s="411">
        <f>'CALCULO DO FATO K'!D$10</f>
        <v>2.3175723620309046</v>
      </c>
      <c r="F666" s="714"/>
      <c r="G666" s="714"/>
      <c r="H666" s="411">
        <f t="shared" si="41"/>
        <v>6757.9448733400786</v>
      </c>
      <c r="I666" s="416"/>
      <c r="J666" s="767"/>
    </row>
    <row r="667" spans="1:10" s="318" customFormat="1" ht="15.75">
      <c r="A667" s="426" t="s">
        <v>656</v>
      </c>
      <c r="B667" s="768" t="s">
        <v>388</v>
      </c>
      <c r="C667" s="409"/>
      <c r="D667" s="787">
        <f>'ESTIMATIVA DE HORAS TÉCNICAS'!F675*'ESTIMATIVA DE HORAS TÉCNICAS'!F$943+'ESTIMATIVA DE HORAS TÉCNICAS'!G675*'ESTIMATIVA DE HORAS TÉCNICAS'!F$942+'ESTIMATIVA DE HORAS TÉCNICAS'!H675*'ESTIMATIVA DE HORAS TÉCNICAS'!F$941+'ESTIMATIVA DE HORAS TÉCNICAS'!I675*'ESTIMATIVA DE HORAS TÉCNICAS'!F$945+'ESTIMATIVA DE HORAS TÉCNICAS'!J675*'ESTIMATIVA DE HORAS TÉCNICAS'!F$946+'ESTIMATIVA DE HORAS TÉCNICAS'!K675*'ESTIMATIVA DE HORAS TÉCNICAS'!$F$944+'ESTIMATIVA DE HORAS TÉCNICAS'!L675*'ESTIMATIVA DE HORAS TÉCNICAS'!F$951+'ESTIMATIVA DE HORAS TÉCNICAS'!M675*'ESTIMATIVA DE HORAS TÉCNICAS'!F$950+'ESTIMATIVA DE HORAS TÉCNICAS'!N675*'ESTIMATIVA DE HORAS TÉCNICAS'!F$949+'ESTIMATIVA DE HORAS TÉCNICAS'!O675*'ESTIMATIVA DE HORAS TÉCNICAS'!F$948+'ESTIMATIVA DE HORAS TÉCNICAS'!P675*'ESTIMATIVA DE HORAS TÉCNICAS'!$F$947+'ESTIMATIVA DE HORAS TÉCNICAS'!Q675*'ESTIMATIVA DE HORAS TÉCNICAS'!F$953+'ESTIMATIVA DE HORAS TÉCNICAS'!R675*'ESTIMATIVA DE HORAS TÉCNICAS'!F$954</f>
        <v>2915.958519378461</v>
      </c>
      <c r="E667" s="411">
        <f>'CALCULO DO FATO K'!D$10</f>
        <v>2.3175723620309046</v>
      </c>
      <c r="F667" s="714"/>
      <c r="G667" s="714"/>
      <c r="H667" s="411">
        <f t="shared" si="41"/>
        <v>6757.9448733400786</v>
      </c>
      <c r="I667" s="416"/>
      <c r="J667" s="767"/>
    </row>
    <row r="668" spans="1:10" s="318" customFormat="1" ht="15.75">
      <c r="A668" s="426" t="s">
        <v>657</v>
      </c>
      <c r="B668" s="768" t="s">
        <v>646</v>
      </c>
      <c r="C668" s="409"/>
      <c r="D668" s="787">
        <f>'ESTIMATIVA DE HORAS TÉCNICAS'!F676*'ESTIMATIVA DE HORAS TÉCNICAS'!F$943+'ESTIMATIVA DE HORAS TÉCNICAS'!G676*'ESTIMATIVA DE HORAS TÉCNICAS'!F$942+'ESTIMATIVA DE HORAS TÉCNICAS'!H676*'ESTIMATIVA DE HORAS TÉCNICAS'!F$941+'ESTIMATIVA DE HORAS TÉCNICAS'!I676*'ESTIMATIVA DE HORAS TÉCNICAS'!F$945+'ESTIMATIVA DE HORAS TÉCNICAS'!J676*'ESTIMATIVA DE HORAS TÉCNICAS'!F$946+'ESTIMATIVA DE HORAS TÉCNICAS'!K676*'ESTIMATIVA DE HORAS TÉCNICAS'!$F$944+'ESTIMATIVA DE HORAS TÉCNICAS'!L676*'ESTIMATIVA DE HORAS TÉCNICAS'!F$951+'ESTIMATIVA DE HORAS TÉCNICAS'!M676*'ESTIMATIVA DE HORAS TÉCNICAS'!F$950+'ESTIMATIVA DE HORAS TÉCNICAS'!N676*'ESTIMATIVA DE HORAS TÉCNICAS'!F$949+'ESTIMATIVA DE HORAS TÉCNICAS'!O676*'ESTIMATIVA DE HORAS TÉCNICAS'!F$948+'ESTIMATIVA DE HORAS TÉCNICAS'!P676*'ESTIMATIVA DE HORAS TÉCNICAS'!$F$947+'ESTIMATIVA DE HORAS TÉCNICAS'!Q676*'ESTIMATIVA DE HORAS TÉCNICAS'!F$953+'ESTIMATIVA DE HORAS TÉCNICAS'!R676*'ESTIMATIVA DE HORAS TÉCNICAS'!F$954</f>
        <v>262.81611212086199</v>
      </c>
      <c r="E668" s="411">
        <f>'CALCULO DO FATO K'!D$10</f>
        <v>2.3175723620309046</v>
      </c>
      <c r="F668" s="714"/>
      <c r="G668" s="714"/>
      <c r="H668" s="411">
        <f t="shared" si="41"/>
        <v>609.09535774772519</v>
      </c>
      <c r="I668" s="416"/>
      <c r="J668" s="767"/>
    </row>
    <row r="669" spans="1:10" s="318" customFormat="1" ht="15.75">
      <c r="A669" s="426" t="s">
        <v>658</v>
      </c>
      <c r="B669" s="768" t="s">
        <v>150</v>
      </c>
      <c r="C669" s="409"/>
      <c r="D669" s="787">
        <f>'ESTIMATIVA DE HORAS TÉCNICAS'!F677*'ESTIMATIVA DE HORAS TÉCNICAS'!F$943+'ESTIMATIVA DE HORAS TÉCNICAS'!G677*'ESTIMATIVA DE HORAS TÉCNICAS'!F$942+'ESTIMATIVA DE HORAS TÉCNICAS'!H677*'ESTIMATIVA DE HORAS TÉCNICAS'!F$941+'ESTIMATIVA DE HORAS TÉCNICAS'!I677*'ESTIMATIVA DE HORAS TÉCNICAS'!F$945+'ESTIMATIVA DE HORAS TÉCNICAS'!J677*'ESTIMATIVA DE HORAS TÉCNICAS'!F$946+'ESTIMATIVA DE HORAS TÉCNICAS'!K677*'ESTIMATIVA DE HORAS TÉCNICAS'!$F$944+'ESTIMATIVA DE HORAS TÉCNICAS'!L677*'ESTIMATIVA DE HORAS TÉCNICAS'!F$951+'ESTIMATIVA DE HORAS TÉCNICAS'!M677*'ESTIMATIVA DE HORAS TÉCNICAS'!F$950+'ESTIMATIVA DE HORAS TÉCNICAS'!N677*'ESTIMATIVA DE HORAS TÉCNICAS'!F$949+'ESTIMATIVA DE HORAS TÉCNICAS'!O677*'ESTIMATIVA DE HORAS TÉCNICAS'!F$948+'ESTIMATIVA DE HORAS TÉCNICAS'!P677*'ESTIMATIVA DE HORAS TÉCNICAS'!$F$947+'ESTIMATIVA DE HORAS TÉCNICAS'!Q677*'ESTIMATIVA DE HORAS TÉCNICAS'!F$953+'ESTIMATIVA DE HORAS TÉCNICAS'!R677*'ESTIMATIVA DE HORAS TÉCNICAS'!F$954</f>
        <v>2915.958519378461</v>
      </c>
      <c r="E669" s="411">
        <f>'CALCULO DO FATO K'!D$10</f>
        <v>2.3175723620309046</v>
      </c>
      <c r="F669" s="714"/>
      <c r="G669" s="714"/>
      <c r="H669" s="411">
        <f t="shared" si="41"/>
        <v>6757.9448733400786</v>
      </c>
      <c r="I669" s="416">
        <f>SUM(H661:H669)</f>
        <v>70764.953685936838</v>
      </c>
      <c r="J669" s="767"/>
    </row>
    <row r="670" spans="1:10" s="532" customFormat="1" ht="15.75">
      <c r="A670" s="426"/>
      <c r="B670" s="768"/>
      <c r="C670" s="409"/>
      <c r="D670" s="787"/>
      <c r="E670" s="411"/>
      <c r="F670" s="714"/>
      <c r="G670" s="714"/>
      <c r="H670" s="411"/>
      <c r="I670" s="416"/>
      <c r="J670" s="767"/>
    </row>
    <row r="671" spans="1:10" s="318" customFormat="1" ht="15.75">
      <c r="A671" s="426"/>
      <c r="B671" s="768"/>
      <c r="C671" s="409"/>
      <c r="D671" s="787"/>
      <c r="E671" s="411"/>
      <c r="F671" s="714"/>
      <c r="G671" s="714"/>
      <c r="H671" s="411"/>
      <c r="I671" s="416"/>
      <c r="J671" s="767"/>
    </row>
    <row r="672" spans="1:10" ht="15.75">
      <c r="A672" s="854" t="s">
        <v>659</v>
      </c>
      <c r="B672" s="427" t="s">
        <v>159</v>
      </c>
      <c r="C672" s="474"/>
      <c r="D672" s="796"/>
      <c r="E672" s="475"/>
      <c r="F672" s="475"/>
      <c r="G672" s="475"/>
      <c r="H672" s="475"/>
      <c r="I672" s="476"/>
      <c r="J672" s="767"/>
    </row>
    <row r="673" spans="1:10" ht="15.75">
      <c r="A673" s="426" t="s">
        <v>660</v>
      </c>
      <c r="B673" s="428" t="s">
        <v>326</v>
      </c>
      <c r="C673" s="409"/>
      <c r="D673" s="787">
        <f>'ESTIMATIVA DE HORAS TÉCNICAS'!F681*'ESTIMATIVA DE HORAS TÉCNICAS'!F$943+'ESTIMATIVA DE HORAS TÉCNICAS'!G681*'ESTIMATIVA DE HORAS TÉCNICAS'!F$942+'ESTIMATIVA DE HORAS TÉCNICAS'!H681*'ESTIMATIVA DE HORAS TÉCNICAS'!F$941+'ESTIMATIVA DE HORAS TÉCNICAS'!I681*'ESTIMATIVA DE HORAS TÉCNICAS'!F$945+'ESTIMATIVA DE HORAS TÉCNICAS'!J681*'ESTIMATIVA DE HORAS TÉCNICAS'!F$946+'ESTIMATIVA DE HORAS TÉCNICAS'!K681*'ESTIMATIVA DE HORAS TÉCNICAS'!$F$944+'ESTIMATIVA DE HORAS TÉCNICAS'!L681*'ESTIMATIVA DE HORAS TÉCNICAS'!F$951+'ESTIMATIVA DE HORAS TÉCNICAS'!M681*'ESTIMATIVA DE HORAS TÉCNICAS'!F$950+'ESTIMATIVA DE HORAS TÉCNICAS'!N681*'ESTIMATIVA DE HORAS TÉCNICAS'!F$949+'ESTIMATIVA DE HORAS TÉCNICAS'!O681*'ESTIMATIVA DE HORAS TÉCNICAS'!F$948+'ESTIMATIVA DE HORAS TÉCNICAS'!P681*'ESTIMATIVA DE HORAS TÉCNICAS'!$F$947+'ESTIMATIVA DE HORAS TÉCNICAS'!Q681*'ESTIMATIVA DE HORAS TÉCNICAS'!F$953+'ESTIMATIVA DE HORAS TÉCNICAS'!R681*'ESTIMATIVA DE HORAS TÉCNICAS'!F$954</f>
        <v>1982.9915097759053</v>
      </c>
      <c r="E673" s="411">
        <f>'CALCULO DO FATO K'!D$10</f>
        <v>2.3175723620309046</v>
      </c>
      <c r="F673" s="714"/>
      <c r="G673" s="714"/>
      <c r="H673" s="411">
        <f>D673*E673</f>
        <v>4595.7263171985742</v>
      </c>
      <c r="I673" s="416"/>
      <c r="J673" s="767"/>
    </row>
    <row r="674" spans="1:10" ht="15.75">
      <c r="A674" s="426" t="s">
        <v>661</v>
      </c>
      <c r="B674" s="428" t="s">
        <v>135</v>
      </c>
      <c r="C674" s="409"/>
      <c r="D674" s="787">
        <f>'ESTIMATIVA DE HORAS TÉCNICAS'!F682*'ESTIMATIVA DE HORAS TÉCNICAS'!F$943+'ESTIMATIVA DE HORAS TÉCNICAS'!G682*'ESTIMATIVA DE HORAS TÉCNICAS'!F$942+'ESTIMATIVA DE HORAS TÉCNICAS'!H682*'ESTIMATIVA DE HORAS TÉCNICAS'!F$941+'ESTIMATIVA DE HORAS TÉCNICAS'!I682*'ESTIMATIVA DE HORAS TÉCNICAS'!F$945+'ESTIMATIVA DE HORAS TÉCNICAS'!J682*'ESTIMATIVA DE HORAS TÉCNICAS'!F$946+'ESTIMATIVA DE HORAS TÉCNICAS'!K682*'ESTIMATIVA DE HORAS TÉCNICAS'!$F$944+'ESTIMATIVA DE HORAS TÉCNICAS'!L682*'ESTIMATIVA DE HORAS TÉCNICAS'!F$951+'ESTIMATIVA DE HORAS TÉCNICAS'!M682*'ESTIMATIVA DE HORAS TÉCNICAS'!F$950+'ESTIMATIVA DE HORAS TÉCNICAS'!N682*'ESTIMATIVA DE HORAS TÉCNICAS'!F$949+'ESTIMATIVA DE HORAS TÉCNICAS'!O682*'ESTIMATIVA DE HORAS TÉCNICAS'!F$948+'ESTIMATIVA DE HORAS TÉCNICAS'!P682*'ESTIMATIVA DE HORAS TÉCNICAS'!$F$947+'ESTIMATIVA DE HORAS TÉCNICAS'!Q682*'ESTIMATIVA DE HORAS TÉCNICAS'!F$953+'ESTIMATIVA DE HORAS TÉCNICAS'!R682*'ESTIMATIVA DE HORAS TÉCNICAS'!F$954</f>
        <v>2346.6821373039302</v>
      </c>
      <c r="E674" s="411">
        <f>'CALCULO DO FATO K'!D$10</f>
        <v>2.3175723620309046</v>
      </c>
      <c r="F674" s="714"/>
      <c r="G674" s="714"/>
      <c r="H674" s="411">
        <f t="shared" ref="H674:H679" si="42">D674*E674</f>
        <v>5438.6056638872005</v>
      </c>
      <c r="I674" s="416"/>
      <c r="J674" s="767"/>
    </row>
    <row r="675" spans="1:10" ht="15.75">
      <c r="A675" s="426" t="s">
        <v>662</v>
      </c>
      <c r="B675" s="428" t="s">
        <v>137</v>
      </c>
      <c r="C675" s="409"/>
      <c r="D675" s="787">
        <f>'ESTIMATIVA DE HORAS TÉCNICAS'!F683*'ESTIMATIVA DE HORAS TÉCNICAS'!F$943+'ESTIMATIVA DE HORAS TÉCNICAS'!G683*'ESTIMATIVA DE HORAS TÉCNICAS'!F$942+'ESTIMATIVA DE HORAS TÉCNICAS'!H683*'ESTIMATIVA DE HORAS TÉCNICAS'!F$941+'ESTIMATIVA DE HORAS TÉCNICAS'!I683*'ESTIMATIVA DE HORAS TÉCNICAS'!F$945+'ESTIMATIVA DE HORAS TÉCNICAS'!J683*'ESTIMATIVA DE HORAS TÉCNICAS'!F$946+'ESTIMATIVA DE HORAS TÉCNICAS'!K683*'ESTIMATIVA DE HORAS TÉCNICAS'!$F$944+'ESTIMATIVA DE HORAS TÉCNICAS'!L683*'ESTIMATIVA DE HORAS TÉCNICAS'!F$951+'ESTIMATIVA DE HORAS TÉCNICAS'!M683*'ESTIMATIVA DE HORAS TÉCNICAS'!F$950+'ESTIMATIVA DE HORAS TÉCNICAS'!N683*'ESTIMATIVA DE HORAS TÉCNICAS'!F$949+'ESTIMATIVA DE HORAS TÉCNICAS'!O683*'ESTIMATIVA DE HORAS TÉCNICAS'!F$948+'ESTIMATIVA DE HORAS TÉCNICAS'!P683*'ESTIMATIVA DE HORAS TÉCNICAS'!$F$947+'ESTIMATIVA DE HORAS TÉCNICAS'!Q683*'ESTIMATIVA DE HORAS TÉCNICAS'!F$953+'ESTIMATIVA DE HORAS TÉCNICAS'!R683*'ESTIMATIVA DE HORAS TÉCNICAS'!F$954</f>
        <v>2208.8170589811207</v>
      </c>
      <c r="E675" s="411">
        <f>'CALCULO DO FATO K'!D$10</f>
        <v>2.3175723620309046</v>
      </c>
      <c r="F675" s="714"/>
      <c r="G675" s="714"/>
      <c r="H675" s="411">
        <f t="shared" si="42"/>
        <v>5119.0933686770313</v>
      </c>
      <c r="I675" s="416"/>
      <c r="J675" s="767"/>
    </row>
    <row r="676" spans="1:10" ht="15.75">
      <c r="A676" s="426" t="s">
        <v>663</v>
      </c>
      <c r="B676" s="768" t="s">
        <v>105</v>
      </c>
      <c r="C676" s="409"/>
      <c r="D676" s="787">
        <f>'ESTIMATIVA DE HORAS TÉCNICAS'!F684*'ESTIMATIVA DE HORAS TÉCNICAS'!F$943+'ESTIMATIVA DE HORAS TÉCNICAS'!G684*'ESTIMATIVA DE HORAS TÉCNICAS'!F$942+'ESTIMATIVA DE HORAS TÉCNICAS'!H684*'ESTIMATIVA DE HORAS TÉCNICAS'!F$941+'ESTIMATIVA DE HORAS TÉCNICAS'!I684*'ESTIMATIVA DE HORAS TÉCNICAS'!F$945+'ESTIMATIVA DE HORAS TÉCNICAS'!J684*'ESTIMATIVA DE HORAS TÉCNICAS'!F$946+'ESTIMATIVA DE HORAS TÉCNICAS'!K684*'ESTIMATIVA DE HORAS TÉCNICAS'!$F$944+'ESTIMATIVA DE HORAS TÉCNICAS'!L684*'ESTIMATIVA DE HORAS TÉCNICAS'!F$951+'ESTIMATIVA DE HORAS TÉCNICAS'!M684*'ESTIMATIVA DE HORAS TÉCNICAS'!F$950+'ESTIMATIVA DE HORAS TÉCNICAS'!N684*'ESTIMATIVA DE HORAS TÉCNICAS'!F$949+'ESTIMATIVA DE HORAS TÉCNICAS'!O684*'ESTIMATIVA DE HORAS TÉCNICAS'!F$948+'ESTIMATIVA DE HORAS TÉCNICAS'!P684*'ESTIMATIVA DE HORAS TÉCNICAS'!$F$947+'ESTIMATIVA DE HORAS TÉCNICAS'!Q684*'ESTIMATIVA DE HORAS TÉCNICAS'!F$953+'ESTIMATIVA DE HORAS TÉCNICAS'!R684*'ESTIMATIVA DE HORAS TÉCNICAS'!F$954</f>
        <v>2557.5611795173509</v>
      </c>
      <c r="E676" s="411">
        <f>'CALCULO DO FATO K'!D$10</f>
        <v>2.3175723620309046</v>
      </c>
      <c r="F676" s="714"/>
      <c r="G676" s="714"/>
      <c r="H676" s="411">
        <f t="shared" si="42"/>
        <v>5927.333103852573</v>
      </c>
      <c r="I676" s="416"/>
      <c r="J676" s="767"/>
    </row>
    <row r="677" spans="1:10" ht="15.75">
      <c r="A677" s="426" t="s">
        <v>664</v>
      </c>
      <c r="B677" s="768" t="s">
        <v>595</v>
      </c>
      <c r="C677" s="409"/>
      <c r="D677" s="787">
        <f>'ESTIMATIVA DE HORAS TÉCNICAS'!F685*'ESTIMATIVA DE HORAS TÉCNICAS'!F$943+'ESTIMATIVA DE HORAS TÉCNICAS'!G685*'ESTIMATIVA DE HORAS TÉCNICAS'!F$942+'ESTIMATIVA DE HORAS TÉCNICAS'!H685*'ESTIMATIVA DE HORAS TÉCNICAS'!F$941+'ESTIMATIVA DE HORAS TÉCNICAS'!I685*'ESTIMATIVA DE HORAS TÉCNICAS'!F$945+'ESTIMATIVA DE HORAS TÉCNICAS'!J685*'ESTIMATIVA DE HORAS TÉCNICAS'!F$946+'ESTIMATIVA DE HORAS TÉCNICAS'!K685*'ESTIMATIVA DE HORAS TÉCNICAS'!$F$944+'ESTIMATIVA DE HORAS TÉCNICAS'!L685*'ESTIMATIVA DE HORAS TÉCNICAS'!F$951+'ESTIMATIVA DE HORAS TÉCNICAS'!M685*'ESTIMATIVA DE HORAS TÉCNICAS'!F$950+'ESTIMATIVA DE HORAS TÉCNICAS'!N685*'ESTIMATIVA DE HORAS TÉCNICAS'!F$949+'ESTIMATIVA DE HORAS TÉCNICAS'!O685*'ESTIMATIVA DE HORAS TÉCNICAS'!F$948+'ESTIMATIVA DE HORAS TÉCNICAS'!P685*'ESTIMATIVA DE HORAS TÉCNICAS'!$F$947+'ESTIMATIVA DE HORAS TÉCNICAS'!Q685*'ESTIMATIVA DE HORAS TÉCNICAS'!F$953+'ESTIMATIVA DE HORAS TÉCNICAS'!R685*'ESTIMATIVA DE HORAS TÉCNICAS'!F$954</f>
        <v>2557.5611795173509</v>
      </c>
      <c r="E677" s="411">
        <f>'CALCULO DO FATO K'!D$10</f>
        <v>2.3175723620309046</v>
      </c>
      <c r="F677" s="714"/>
      <c r="G677" s="714"/>
      <c r="H677" s="411">
        <f t="shared" si="42"/>
        <v>5927.333103852573</v>
      </c>
      <c r="I677" s="416"/>
      <c r="J677" s="767"/>
    </row>
    <row r="678" spans="1:10" ht="15.75">
      <c r="A678" s="426" t="s">
        <v>665</v>
      </c>
      <c r="B678" s="768" t="s">
        <v>597</v>
      </c>
      <c r="C678" s="409"/>
      <c r="D678" s="787">
        <f>'ESTIMATIVA DE HORAS TÉCNICAS'!F686*'ESTIMATIVA DE HORAS TÉCNICAS'!F$943+'ESTIMATIVA DE HORAS TÉCNICAS'!G686*'ESTIMATIVA DE HORAS TÉCNICAS'!F$942+'ESTIMATIVA DE HORAS TÉCNICAS'!H686*'ESTIMATIVA DE HORAS TÉCNICAS'!F$941+'ESTIMATIVA DE HORAS TÉCNICAS'!I686*'ESTIMATIVA DE HORAS TÉCNICAS'!F$945+'ESTIMATIVA DE HORAS TÉCNICAS'!J686*'ESTIMATIVA DE HORAS TÉCNICAS'!F$946+'ESTIMATIVA DE HORAS TÉCNICAS'!K686*'ESTIMATIVA DE HORAS TÉCNICAS'!$F$944+'ESTIMATIVA DE HORAS TÉCNICAS'!L686*'ESTIMATIVA DE HORAS TÉCNICAS'!F$951+'ESTIMATIVA DE HORAS TÉCNICAS'!M686*'ESTIMATIVA DE HORAS TÉCNICAS'!F$950+'ESTIMATIVA DE HORAS TÉCNICAS'!N686*'ESTIMATIVA DE HORAS TÉCNICAS'!F$949+'ESTIMATIVA DE HORAS TÉCNICAS'!O686*'ESTIMATIVA DE HORAS TÉCNICAS'!F$948+'ESTIMATIVA DE HORAS TÉCNICAS'!P686*'ESTIMATIVA DE HORAS TÉCNICAS'!$F$947+'ESTIMATIVA DE HORAS TÉCNICAS'!Q686*'ESTIMATIVA DE HORAS TÉCNICAS'!F$953+'ESTIMATIVA DE HORAS TÉCNICAS'!R686*'ESTIMATIVA DE HORAS TÉCNICAS'!F$954</f>
        <v>176.60413098977762</v>
      </c>
      <c r="E678" s="411">
        <f>'CALCULO DO FATO K'!D$10</f>
        <v>2.3175723620309046</v>
      </c>
      <c r="F678" s="714"/>
      <c r="G678" s="714"/>
      <c r="H678" s="411">
        <f t="shared" si="42"/>
        <v>409.29285300239417</v>
      </c>
      <c r="I678" s="416"/>
      <c r="J678" s="767"/>
    </row>
    <row r="679" spans="1:10" ht="15.75">
      <c r="A679" s="426" t="s">
        <v>666</v>
      </c>
      <c r="B679" s="768" t="s">
        <v>150</v>
      </c>
      <c r="C679" s="409"/>
      <c r="D679" s="787">
        <f>'ESTIMATIVA DE HORAS TÉCNICAS'!F687*'ESTIMATIVA DE HORAS TÉCNICAS'!F$943+'ESTIMATIVA DE HORAS TÉCNICAS'!G687*'ESTIMATIVA DE HORAS TÉCNICAS'!F$942+'ESTIMATIVA DE HORAS TÉCNICAS'!H687*'ESTIMATIVA DE HORAS TÉCNICAS'!F$941+'ESTIMATIVA DE HORAS TÉCNICAS'!I687*'ESTIMATIVA DE HORAS TÉCNICAS'!F$945+'ESTIMATIVA DE HORAS TÉCNICAS'!J687*'ESTIMATIVA DE HORAS TÉCNICAS'!F$946+'ESTIMATIVA DE HORAS TÉCNICAS'!K687*'ESTIMATIVA DE HORAS TÉCNICAS'!$F$944+'ESTIMATIVA DE HORAS TÉCNICAS'!L687*'ESTIMATIVA DE HORAS TÉCNICAS'!F$951+'ESTIMATIVA DE HORAS TÉCNICAS'!M687*'ESTIMATIVA DE HORAS TÉCNICAS'!F$950+'ESTIMATIVA DE HORAS TÉCNICAS'!N687*'ESTIMATIVA DE HORAS TÉCNICAS'!F$949+'ESTIMATIVA DE HORAS TÉCNICAS'!O687*'ESTIMATIVA DE HORAS TÉCNICAS'!F$948+'ESTIMATIVA DE HORAS TÉCNICAS'!P687*'ESTIMATIVA DE HORAS TÉCNICAS'!$F$947+'ESTIMATIVA DE HORAS TÉCNICAS'!Q687*'ESTIMATIVA DE HORAS TÉCNICAS'!F$953+'ESTIMATIVA DE HORAS TÉCNICAS'!R687*'ESTIMATIVA DE HORAS TÉCNICAS'!F$954</f>
        <v>1845.1264314530956</v>
      </c>
      <c r="E679" s="411">
        <f>'CALCULO DO FATO K'!D$10</f>
        <v>2.3175723620309046</v>
      </c>
      <c r="F679" s="714"/>
      <c r="G679" s="714"/>
      <c r="H679" s="411">
        <f t="shared" si="42"/>
        <v>4276.214021988405</v>
      </c>
      <c r="I679" s="416">
        <f>SUM(H673:H679)</f>
        <v>31693.598432458752</v>
      </c>
      <c r="J679" s="767"/>
    </row>
    <row r="680" spans="1:10" s="532" customFormat="1" ht="15.75">
      <c r="A680" s="426"/>
      <c r="B680" s="768"/>
      <c r="C680" s="409"/>
      <c r="D680" s="787"/>
      <c r="E680" s="411"/>
      <c r="F680" s="714"/>
      <c r="G680" s="714"/>
      <c r="H680" s="411"/>
      <c r="I680" s="416"/>
      <c r="J680" s="767"/>
    </row>
    <row r="681" spans="1:10" s="318" customFormat="1" ht="15.75">
      <c r="A681" s="426"/>
      <c r="B681" s="768"/>
      <c r="C681" s="409"/>
      <c r="D681" s="787"/>
      <c r="E681" s="411"/>
      <c r="F681" s="714"/>
      <c r="G681" s="714"/>
      <c r="H681" s="411"/>
      <c r="I681" s="416"/>
      <c r="J681" s="767"/>
    </row>
    <row r="682" spans="1:10" ht="15.75">
      <c r="A682" s="391" t="s">
        <v>667</v>
      </c>
      <c r="B682" s="427" t="s">
        <v>164</v>
      </c>
      <c r="C682" s="474"/>
      <c r="D682" s="796"/>
      <c r="E682" s="475"/>
      <c r="F682" s="475"/>
      <c r="G682" s="475"/>
      <c r="H682" s="475"/>
      <c r="I682" s="476"/>
      <c r="J682" s="767"/>
    </row>
    <row r="683" spans="1:10" ht="15.75">
      <c r="A683" s="426" t="s">
        <v>668</v>
      </c>
      <c r="B683" s="428" t="s">
        <v>112</v>
      </c>
      <c r="C683" s="409"/>
      <c r="D683" s="787">
        <f>'ESTIMATIVA DE HORAS TÉCNICAS'!F691*'ESTIMATIVA DE HORAS TÉCNICAS'!F$943+'ESTIMATIVA DE HORAS TÉCNICAS'!G691*'ESTIMATIVA DE HORAS TÉCNICAS'!F$942+'ESTIMATIVA DE HORAS TÉCNICAS'!H691*'ESTIMATIVA DE HORAS TÉCNICAS'!F$941+'ESTIMATIVA DE HORAS TÉCNICAS'!I691*'ESTIMATIVA DE HORAS TÉCNICAS'!F$945+'ESTIMATIVA DE HORAS TÉCNICAS'!J691*'ESTIMATIVA DE HORAS TÉCNICAS'!F$946+'ESTIMATIVA DE HORAS TÉCNICAS'!K691*'ESTIMATIVA DE HORAS TÉCNICAS'!$F$944+'ESTIMATIVA DE HORAS TÉCNICAS'!L691*'ESTIMATIVA DE HORAS TÉCNICAS'!F$951+'ESTIMATIVA DE HORAS TÉCNICAS'!M691*'ESTIMATIVA DE HORAS TÉCNICAS'!F$950+'ESTIMATIVA DE HORAS TÉCNICAS'!N691*'ESTIMATIVA DE HORAS TÉCNICAS'!F$949+'ESTIMATIVA DE HORAS TÉCNICAS'!O691*'ESTIMATIVA DE HORAS TÉCNICAS'!F$948+'ESTIMATIVA DE HORAS TÉCNICAS'!P691*'ESTIMATIVA DE HORAS TÉCNICAS'!$F$947+'ESTIMATIVA DE HORAS TÉCNICAS'!Q691*'ESTIMATIVA DE HORAS TÉCNICAS'!F$953+'ESTIMATIVA DE HORAS TÉCNICAS'!R691*'ESTIMATIVA DE HORAS TÉCNICAS'!F$954</f>
        <v>3410.1230182910817</v>
      </c>
      <c r="E683" s="411">
        <f>'CALCULO DO FATO K'!D$10</f>
        <v>2.3175723620309046</v>
      </c>
      <c r="F683" s="714"/>
      <c r="G683" s="714"/>
      <c r="H683" s="411">
        <f>D683*E683</f>
        <v>7903.2068583168202</v>
      </c>
      <c r="I683" s="416"/>
      <c r="J683" s="767"/>
    </row>
    <row r="684" spans="1:10" ht="15.75">
      <c r="A684" s="426" t="s">
        <v>669</v>
      </c>
      <c r="B684" s="428" t="s">
        <v>670</v>
      </c>
      <c r="C684" s="409"/>
      <c r="D684" s="787">
        <f>'ESTIMATIVA DE HORAS TÉCNICAS'!F692*'ESTIMATIVA DE HORAS TÉCNICAS'!F$943+'ESTIMATIVA DE HORAS TÉCNICAS'!G692*'ESTIMATIVA DE HORAS TÉCNICAS'!F$942+'ESTIMATIVA DE HORAS TÉCNICAS'!H692*'ESTIMATIVA DE HORAS TÉCNICAS'!F$941+'ESTIMATIVA DE HORAS TÉCNICAS'!I692*'ESTIMATIVA DE HORAS TÉCNICAS'!F$945+'ESTIMATIVA DE HORAS TÉCNICAS'!J692*'ESTIMATIVA DE HORAS TÉCNICAS'!F$946+'ESTIMATIVA DE HORAS TÉCNICAS'!K692*'ESTIMATIVA DE HORAS TÉCNICAS'!$F$944+'ESTIMATIVA DE HORAS TÉCNICAS'!L692*'ESTIMATIVA DE HORAS TÉCNICAS'!F$951+'ESTIMATIVA DE HORAS TÉCNICAS'!M692*'ESTIMATIVA DE HORAS TÉCNICAS'!F$950+'ESTIMATIVA DE HORAS TÉCNICAS'!N692*'ESTIMATIVA DE HORAS TÉCNICAS'!F$949+'ESTIMATIVA DE HORAS TÉCNICAS'!O692*'ESTIMATIVA DE HORAS TÉCNICAS'!F$948+'ESTIMATIVA DE HORAS TÉCNICAS'!P692*'ESTIMATIVA DE HORAS TÉCNICAS'!$F$947+'ESTIMATIVA DE HORAS TÉCNICAS'!Q692*'ESTIMATIVA DE HORAS TÉCNICAS'!F$953+'ESTIMATIVA DE HORAS TÉCNICAS'!R692*'ESTIMATIVA DE HORAS TÉCNICAS'!F$954</f>
        <v>2299.2134651145693</v>
      </c>
      <c r="E684" s="411">
        <f>'CALCULO DO FATO K'!D$10</f>
        <v>2.3175723620309046</v>
      </c>
      <c r="F684" s="714"/>
      <c r="G684" s="714"/>
      <c r="H684" s="411">
        <f t="shared" ref="H684:H690" si="43">D684*E684</f>
        <v>5328.5935811588333</v>
      </c>
      <c r="I684" s="416"/>
      <c r="J684" s="767"/>
    </row>
    <row r="685" spans="1:10" ht="15.75">
      <c r="A685" s="426" t="s">
        <v>671</v>
      </c>
      <c r="B685" s="428" t="s">
        <v>173</v>
      </c>
      <c r="C685" s="409"/>
      <c r="D685" s="787">
        <f>'ESTIMATIVA DE HORAS TÉCNICAS'!F693*'ESTIMATIVA DE HORAS TÉCNICAS'!F$943+'ESTIMATIVA DE HORAS TÉCNICAS'!G693*'ESTIMATIVA DE HORAS TÉCNICAS'!F$942+'ESTIMATIVA DE HORAS TÉCNICAS'!H693*'ESTIMATIVA DE HORAS TÉCNICAS'!F$941+'ESTIMATIVA DE HORAS TÉCNICAS'!I693*'ESTIMATIVA DE HORAS TÉCNICAS'!F$945+'ESTIMATIVA DE HORAS TÉCNICAS'!J693*'ESTIMATIVA DE HORAS TÉCNICAS'!F$946+'ESTIMATIVA DE HORAS TÉCNICAS'!K693*'ESTIMATIVA DE HORAS TÉCNICAS'!$F$944+'ESTIMATIVA DE HORAS TÉCNICAS'!L693*'ESTIMATIVA DE HORAS TÉCNICAS'!F$951+'ESTIMATIVA DE HORAS TÉCNICAS'!M693*'ESTIMATIVA DE HORAS TÉCNICAS'!F$950+'ESTIMATIVA DE HORAS TÉCNICAS'!N693*'ESTIMATIVA DE HORAS TÉCNICAS'!F$949+'ESTIMATIVA DE HORAS TÉCNICAS'!O693*'ESTIMATIVA DE HORAS TÉCNICAS'!F$948+'ESTIMATIVA DE HORAS TÉCNICAS'!P693*'ESTIMATIVA DE HORAS TÉCNICAS'!$F$947+'ESTIMATIVA DE HORAS TÉCNICAS'!Q693*'ESTIMATIVA DE HORAS TÉCNICAS'!F$953+'ESTIMATIVA DE HORAS TÉCNICAS'!R693*'ESTIMATIVA DE HORAS TÉCNICAS'!F$954</f>
        <v>6764.094450952377</v>
      </c>
      <c r="E685" s="411">
        <f>'CALCULO DO FATO K'!D$10</f>
        <v>2.3175723620309046</v>
      </c>
      <c r="F685" s="714"/>
      <c r="G685" s="714"/>
      <c r="H685" s="411">
        <f t="shared" si="43"/>
        <v>15676.278353693835</v>
      </c>
      <c r="I685" s="416"/>
      <c r="J685" s="767"/>
    </row>
    <row r="686" spans="1:10" ht="15.75">
      <c r="A686" s="426" t="s">
        <v>672</v>
      </c>
      <c r="B686" s="768" t="s">
        <v>595</v>
      </c>
      <c r="C686" s="409"/>
      <c r="D686" s="787">
        <f>'ESTIMATIVA DE HORAS TÉCNICAS'!F694*'ESTIMATIVA DE HORAS TÉCNICAS'!F$943+'ESTIMATIVA DE HORAS TÉCNICAS'!G694*'ESTIMATIVA DE HORAS TÉCNICAS'!F$942+'ESTIMATIVA DE HORAS TÉCNICAS'!H694*'ESTIMATIVA DE HORAS TÉCNICAS'!F$941+'ESTIMATIVA DE HORAS TÉCNICAS'!I694*'ESTIMATIVA DE HORAS TÉCNICAS'!F$945+'ESTIMATIVA DE HORAS TÉCNICAS'!J694*'ESTIMATIVA DE HORAS TÉCNICAS'!F$946+'ESTIMATIVA DE HORAS TÉCNICAS'!K694*'ESTIMATIVA DE HORAS TÉCNICAS'!$F$944+'ESTIMATIVA DE HORAS TÉCNICAS'!L694*'ESTIMATIVA DE HORAS TÉCNICAS'!F$951+'ESTIMATIVA DE HORAS TÉCNICAS'!M694*'ESTIMATIVA DE HORAS TÉCNICAS'!F$950+'ESTIMATIVA DE HORAS TÉCNICAS'!N694*'ESTIMATIVA DE HORAS TÉCNICAS'!F$949+'ESTIMATIVA DE HORAS TÉCNICAS'!O694*'ESTIMATIVA DE HORAS TÉCNICAS'!F$948+'ESTIMATIVA DE HORAS TÉCNICAS'!P694*'ESTIMATIVA DE HORAS TÉCNICAS'!$F$947+'ESTIMATIVA DE HORAS TÉCNICAS'!Q694*'ESTIMATIVA DE HORAS TÉCNICAS'!F$953+'ESTIMATIVA DE HORAS TÉCNICAS'!R694*'ESTIMATIVA DE HORAS TÉCNICAS'!F$954</f>
        <v>7050.8727031087492</v>
      </c>
      <c r="E686" s="411">
        <f>'CALCULO DO FATO K'!D$10</f>
        <v>2.3175723620309046</v>
      </c>
      <c r="F686" s="714"/>
      <c r="G686" s="714"/>
      <c r="H686" s="411">
        <f t="shared" si="43"/>
        <v>16340.907704922973</v>
      </c>
      <c r="I686" s="416"/>
      <c r="J686" s="767"/>
    </row>
    <row r="687" spans="1:10" ht="15.75">
      <c r="A687" s="426" t="s">
        <v>673</v>
      </c>
      <c r="B687" s="428" t="s">
        <v>135</v>
      </c>
      <c r="C687" s="409"/>
      <c r="D687" s="787">
        <f>'ESTIMATIVA DE HORAS TÉCNICAS'!F695*'ESTIMATIVA DE HORAS TÉCNICAS'!F$943+'ESTIMATIVA DE HORAS TÉCNICAS'!G695*'ESTIMATIVA DE HORAS TÉCNICAS'!F$942+'ESTIMATIVA DE HORAS TÉCNICAS'!H695*'ESTIMATIVA DE HORAS TÉCNICAS'!F$941+'ESTIMATIVA DE HORAS TÉCNICAS'!I695*'ESTIMATIVA DE HORAS TÉCNICAS'!F$945+'ESTIMATIVA DE HORAS TÉCNICAS'!J695*'ESTIMATIVA DE HORAS TÉCNICAS'!F$946+'ESTIMATIVA DE HORAS TÉCNICAS'!K695*'ESTIMATIVA DE HORAS TÉCNICAS'!$F$944+'ESTIMATIVA DE HORAS TÉCNICAS'!L695*'ESTIMATIVA DE HORAS TÉCNICAS'!F$951+'ESTIMATIVA DE HORAS TÉCNICAS'!M695*'ESTIMATIVA DE HORAS TÉCNICAS'!F$950+'ESTIMATIVA DE HORAS TÉCNICAS'!N695*'ESTIMATIVA DE HORAS TÉCNICAS'!F$949+'ESTIMATIVA DE HORAS TÉCNICAS'!O695*'ESTIMATIVA DE HORAS TÉCNICAS'!F$948+'ESTIMATIVA DE HORAS TÉCNICAS'!P695*'ESTIMATIVA DE HORAS TÉCNICAS'!$F$947+'ESTIMATIVA DE HORAS TÉCNICAS'!Q695*'ESTIMATIVA DE HORAS TÉCNICAS'!F$953+'ESTIMATIVA DE HORAS TÉCNICAS'!R695*'ESTIMATIVA DE HORAS TÉCNICAS'!F$954</f>
        <v>6764.094450952377</v>
      </c>
      <c r="E687" s="411">
        <f>'CALCULO DO FATO K'!D$10</f>
        <v>2.3175723620309046</v>
      </c>
      <c r="F687" s="714"/>
      <c r="G687" s="714"/>
      <c r="H687" s="411">
        <f t="shared" si="43"/>
        <v>15676.278353693835</v>
      </c>
      <c r="I687" s="416"/>
      <c r="J687" s="767"/>
    </row>
    <row r="688" spans="1:10" ht="15.75">
      <c r="A688" s="426" t="s">
        <v>674</v>
      </c>
      <c r="B688" s="428" t="s">
        <v>326</v>
      </c>
      <c r="C688" s="409"/>
      <c r="D688" s="787">
        <f>'ESTIMATIVA DE HORAS TÉCNICAS'!F696*'ESTIMATIVA DE HORAS TÉCNICAS'!F$943+'ESTIMATIVA DE HORAS TÉCNICAS'!G696*'ESTIMATIVA DE HORAS TÉCNICAS'!F$942+'ESTIMATIVA DE HORAS TÉCNICAS'!H696*'ESTIMATIVA DE HORAS TÉCNICAS'!F$941+'ESTIMATIVA DE HORAS TÉCNICAS'!I696*'ESTIMATIVA DE HORAS TÉCNICAS'!F$945+'ESTIMATIVA DE HORAS TÉCNICAS'!J696*'ESTIMATIVA DE HORAS TÉCNICAS'!F$946+'ESTIMATIVA DE HORAS TÉCNICAS'!K696*'ESTIMATIVA DE HORAS TÉCNICAS'!$F$944+'ESTIMATIVA DE HORAS TÉCNICAS'!L696*'ESTIMATIVA DE HORAS TÉCNICAS'!F$951+'ESTIMATIVA DE HORAS TÉCNICAS'!M696*'ESTIMATIVA DE HORAS TÉCNICAS'!F$950+'ESTIMATIVA DE HORAS TÉCNICAS'!N696*'ESTIMATIVA DE HORAS TÉCNICAS'!F$949+'ESTIMATIVA DE HORAS TÉCNICAS'!O696*'ESTIMATIVA DE HORAS TÉCNICAS'!F$948+'ESTIMATIVA DE HORAS TÉCNICAS'!P696*'ESTIMATIVA DE HORAS TÉCNICAS'!$F$947+'ESTIMATIVA DE HORAS TÉCNICAS'!Q696*'ESTIMATIVA DE HORAS TÉCNICAS'!F$953+'ESTIMATIVA DE HORAS TÉCNICAS'!R696*'ESTIMATIVA DE HORAS TÉCNICAS'!F$954</f>
        <v>5038.4374901505525</v>
      </c>
      <c r="E688" s="411">
        <f>'CALCULO DO FATO K'!D$10</f>
        <v>2.3175723620309046</v>
      </c>
      <c r="F688" s="714"/>
      <c r="G688" s="714"/>
      <c r="H688" s="411">
        <f t="shared" si="43"/>
        <v>11676.943474993279</v>
      </c>
      <c r="I688" s="416"/>
      <c r="J688" s="767"/>
    </row>
    <row r="689" spans="1:10" ht="15.75">
      <c r="A689" s="426" t="s">
        <v>675</v>
      </c>
      <c r="B689" s="768" t="s">
        <v>150</v>
      </c>
      <c r="C689" s="409"/>
      <c r="D689" s="787">
        <f>'ESTIMATIVA DE HORAS TÉCNICAS'!F697*'ESTIMATIVA DE HORAS TÉCNICAS'!F$943+'ESTIMATIVA DE HORAS TÉCNICAS'!G697*'ESTIMATIVA DE HORAS TÉCNICAS'!F$942+'ESTIMATIVA DE HORAS TÉCNICAS'!H697*'ESTIMATIVA DE HORAS TÉCNICAS'!F$941+'ESTIMATIVA DE HORAS TÉCNICAS'!I697*'ESTIMATIVA DE HORAS TÉCNICAS'!F$945+'ESTIMATIVA DE HORAS TÉCNICAS'!J697*'ESTIMATIVA DE HORAS TÉCNICAS'!F$946+'ESTIMATIVA DE HORAS TÉCNICAS'!K697*'ESTIMATIVA DE HORAS TÉCNICAS'!$F$944+'ESTIMATIVA DE HORAS TÉCNICAS'!L697*'ESTIMATIVA DE HORAS TÉCNICAS'!F$951+'ESTIMATIVA DE HORAS TÉCNICAS'!M697*'ESTIMATIVA DE HORAS TÉCNICAS'!F$950+'ESTIMATIVA DE HORAS TÉCNICAS'!N697*'ESTIMATIVA DE HORAS TÉCNICAS'!F$949+'ESTIMATIVA DE HORAS TÉCNICAS'!O697*'ESTIMATIVA DE HORAS TÉCNICAS'!F$948+'ESTIMATIVA DE HORAS TÉCNICAS'!P697*'ESTIMATIVA DE HORAS TÉCNICAS'!$F$947+'ESTIMATIVA DE HORAS TÉCNICAS'!Q697*'ESTIMATIVA DE HORAS TÉCNICAS'!F$953+'ESTIMATIVA DE HORAS TÉCNICAS'!R697*'ESTIMATIVA DE HORAS TÉCNICAS'!F$954</f>
        <v>3750.9238059842623</v>
      </c>
      <c r="E689" s="411">
        <f>'CALCULO DO FATO K'!D$10</f>
        <v>2.3175723620309046</v>
      </c>
      <c r="F689" s="714"/>
      <c r="G689" s="714"/>
      <c r="H689" s="411">
        <f t="shared" si="43"/>
        <v>8693.0373448328974</v>
      </c>
      <c r="I689" s="416"/>
      <c r="J689" s="767"/>
    </row>
    <row r="690" spans="1:10" s="318" customFormat="1" ht="15.75">
      <c r="A690" s="426" t="s">
        <v>676</v>
      </c>
      <c r="B690" s="768" t="s">
        <v>597</v>
      </c>
      <c r="C690" s="409"/>
      <c r="D690" s="787">
        <f>'ESTIMATIVA DE HORAS TÉCNICAS'!F698*'ESTIMATIVA DE HORAS TÉCNICAS'!F$943+'ESTIMATIVA DE HORAS TÉCNICAS'!G698*'ESTIMATIVA DE HORAS TÉCNICAS'!F$942+'ESTIMATIVA DE HORAS TÉCNICAS'!H698*'ESTIMATIVA DE HORAS TÉCNICAS'!F$941+'ESTIMATIVA DE HORAS TÉCNICAS'!I698*'ESTIMATIVA DE HORAS TÉCNICAS'!F$945+'ESTIMATIVA DE HORAS TÉCNICAS'!J698*'ESTIMATIVA DE HORAS TÉCNICAS'!F$946+'ESTIMATIVA DE HORAS TÉCNICAS'!K698*'ESTIMATIVA DE HORAS TÉCNICAS'!$F$944+'ESTIMATIVA DE HORAS TÉCNICAS'!L698*'ESTIMATIVA DE HORAS TÉCNICAS'!F$951+'ESTIMATIVA DE HORAS TÉCNICAS'!M698*'ESTIMATIVA DE HORAS TÉCNICAS'!F$950+'ESTIMATIVA DE HORAS TÉCNICAS'!N698*'ESTIMATIVA DE HORAS TÉCNICAS'!F$949+'ESTIMATIVA DE HORAS TÉCNICAS'!O698*'ESTIMATIVA DE HORAS TÉCNICAS'!F$948+'ESTIMATIVA DE HORAS TÉCNICAS'!P698*'ESTIMATIVA DE HORAS TÉCNICAS'!$F$947+'ESTIMATIVA DE HORAS TÉCNICAS'!Q698*'ESTIMATIVA DE HORAS TÉCNICAS'!F$953+'ESTIMATIVA DE HORAS TÉCNICAS'!R698*'ESTIMATIVA DE HORAS TÉCNICAS'!F$954</f>
        <v>176.60413098977762</v>
      </c>
      <c r="E690" s="411">
        <f>'CALCULO DO FATO K'!D$10</f>
        <v>2.3175723620309046</v>
      </c>
      <c r="F690" s="714"/>
      <c r="G690" s="714"/>
      <c r="H690" s="411">
        <f t="shared" si="43"/>
        <v>409.29285300239417</v>
      </c>
      <c r="I690" s="416">
        <f>SUM(H683:H690)</f>
        <v>81704.538524614865</v>
      </c>
      <c r="J690" s="767"/>
    </row>
    <row r="691" spans="1:10" s="532" customFormat="1" ht="15.75">
      <c r="A691" s="426"/>
      <c r="B691" s="768"/>
      <c r="C691" s="409"/>
      <c r="D691" s="787"/>
      <c r="E691" s="411"/>
      <c r="F691" s="714"/>
      <c r="G691" s="714"/>
      <c r="H691" s="411"/>
      <c r="I691" s="416"/>
      <c r="J691" s="767"/>
    </row>
    <row r="692" spans="1:10" s="388" customFormat="1" ht="15.75">
      <c r="A692" s="426"/>
      <c r="B692" s="768"/>
      <c r="C692" s="409"/>
      <c r="D692" s="787"/>
      <c r="E692" s="411"/>
      <c r="F692" s="714"/>
      <c r="G692" s="714"/>
      <c r="H692" s="411"/>
      <c r="I692" s="416"/>
      <c r="J692" s="767"/>
    </row>
    <row r="693" spans="1:10" ht="15.75">
      <c r="A693" s="391" t="s">
        <v>677</v>
      </c>
      <c r="B693" s="367" t="s">
        <v>176</v>
      </c>
      <c r="C693" s="474"/>
      <c r="D693" s="796"/>
      <c r="E693" s="475"/>
      <c r="F693" s="475"/>
      <c r="G693" s="475"/>
      <c r="H693" s="475"/>
      <c r="I693" s="476"/>
      <c r="J693" s="767"/>
    </row>
    <row r="694" spans="1:10" ht="15.75">
      <c r="A694" s="426" t="s">
        <v>678</v>
      </c>
      <c r="B694" s="428" t="s">
        <v>326</v>
      </c>
      <c r="C694" s="409"/>
      <c r="D694" s="787">
        <f>'ESTIMATIVA DE HORAS TÉCNICAS'!F702*'ESTIMATIVA DE HORAS TÉCNICAS'!F$943+'ESTIMATIVA DE HORAS TÉCNICAS'!G702*'ESTIMATIVA DE HORAS TÉCNICAS'!F$942+'ESTIMATIVA DE HORAS TÉCNICAS'!H702*'ESTIMATIVA DE HORAS TÉCNICAS'!F$941+'ESTIMATIVA DE HORAS TÉCNICAS'!I702*'ESTIMATIVA DE HORAS TÉCNICAS'!F$945+'ESTIMATIVA DE HORAS TÉCNICAS'!J702*'ESTIMATIVA DE HORAS TÉCNICAS'!F$946+'ESTIMATIVA DE HORAS TÉCNICAS'!K702*'ESTIMATIVA DE HORAS TÉCNICAS'!$F$944+'ESTIMATIVA DE HORAS TÉCNICAS'!L702*'ESTIMATIVA DE HORAS TÉCNICAS'!F$951+'ESTIMATIVA DE HORAS TÉCNICAS'!M702*'ESTIMATIVA DE HORAS TÉCNICAS'!F$950+'ESTIMATIVA DE HORAS TÉCNICAS'!N702*'ESTIMATIVA DE HORAS TÉCNICAS'!F$949+'ESTIMATIVA DE HORAS TÉCNICAS'!O702*'ESTIMATIVA DE HORAS TÉCNICAS'!F$948+'ESTIMATIVA DE HORAS TÉCNICAS'!P702*'ESTIMATIVA DE HORAS TÉCNICAS'!$F$947+'ESTIMATIVA DE HORAS TÉCNICAS'!Q702*'ESTIMATIVA DE HORAS TÉCNICAS'!F$953+'ESTIMATIVA DE HORAS TÉCNICAS'!R702*'ESTIMATIVA DE HORAS TÉCNICAS'!F$954</f>
        <v>4669.3198391519509</v>
      </c>
      <c r="E694" s="411">
        <f>'CALCULO DO FATO K'!D$10</f>
        <v>2.3175723620309046</v>
      </c>
      <c r="F694" s="714"/>
      <c r="G694" s="714"/>
      <c r="H694" s="411">
        <f>D694*E694</f>
        <v>10821.486608701151</v>
      </c>
      <c r="I694" s="416"/>
      <c r="J694" s="767"/>
    </row>
    <row r="695" spans="1:10" ht="15.75">
      <c r="A695" s="426" t="s">
        <v>679</v>
      </c>
      <c r="B695" s="768" t="s">
        <v>135</v>
      </c>
      <c r="C695" s="409"/>
      <c r="D695" s="787">
        <f>'ESTIMATIVA DE HORAS TÉCNICAS'!F703*'ESTIMATIVA DE HORAS TÉCNICAS'!F$943+'ESTIMATIVA DE HORAS TÉCNICAS'!G703*'ESTIMATIVA DE HORAS TÉCNICAS'!F$942+'ESTIMATIVA DE HORAS TÉCNICAS'!H703*'ESTIMATIVA DE HORAS TÉCNICAS'!F$941+'ESTIMATIVA DE HORAS TÉCNICAS'!I703*'ESTIMATIVA DE HORAS TÉCNICAS'!F$945+'ESTIMATIVA DE HORAS TÉCNICAS'!J703*'ESTIMATIVA DE HORAS TÉCNICAS'!F$946+'ESTIMATIVA DE HORAS TÉCNICAS'!K703*'ESTIMATIVA DE HORAS TÉCNICAS'!$F$944+'ESTIMATIVA DE HORAS TÉCNICAS'!L703*'ESTIMATIVA DE HORAS TÉCNICAS'!F$951+'ESTIMATIVA DE HORAS TÉCNICAS'!M703*'ESTIMATIVA DE HORAS TÉCNICAS'!F$950+'ESTIMATIVA DE HORAS TÉCNICAS'!N703*'ESTIMATIVA DE HORAS TÉCNICAS'!F$949+'ESTIMATIVA DE HORAS TÉCNICAS'!O703*'ESTIMATIVA DE HORAS TÉCNICAS'!F$948+'ESTIMATIVA DE HORAS TÉCNICAS'!P703*'ESTIMATIVA DE HORAS TÉCNICAS'!$F$947+'ESTIMATIVA DE HORAS TÉCNICAS'!Q703*'ESTIMATIVA DE HORAS TÉCNICAS'!F$953+'ESTIMATIVA DE HORAS TÉCNICAS'!R703*'ESTIMATIVA DE HORAS TÉCNICAS'!F$954</f>
        <v>4669.3198391519509</v>
      </c>
      <c r="E695" s="411">
        <f>'CALCULO DO FATO K'!D$10</f>
        <v>2.3175723620309046</v>
      </c>
      <c r="F695" s="714"/>
      <c r="G695" s="714"/>
      <c r="H695" s="411">
        <f t="shared" ref="H695:H700" si="44">D695*E695</f>
        <v>10821.486608701151</v>
      </c>
      <c r="I695" s="416"/>
      <c r="J695" s="767"/>
    </row>
    <row r="696" spans="1:10" ht="15.75">
      <c r="A696" s="426" t="s">
        <v>680</v>
      </c>
      <c r="B696" s="768" t="s">
        <v>112</v>
      </c>
      <c r="C696" s="409"/>
      <c r="D696" s="787">
        <f>'ESTIMATIVA DE HORAS TÉCNICAS'!F704*'ESTIMATIVA DE HORAS TÉCNICAS'!F$943+'ESTIMATIVA DE HORAS TÉCNICAS'!G704*'ESTIMATIVA DE HORAS TÉCNICAS'!F$942+'ESTIMATIVA DE HORAS TÉCNICAS'!H704*'ESTIMATIVA DE HORAS TÉCNICAS'!F$941+'ESTIMATIVA DE HORAS TÉCNICAS'!I704*'ESTIMATIVA DE HORAS TÉCNICAS'!F$945+'ESTIMATIVA DE HORAS TÉCNICAS'!J704*'ESTIMATIVA DE HORAS TÉCNICAS'!F$946+'ESTIMATIVA DE HORAS TÉCNICAS'!K704*'ESTIMATIVA DE HORAS TÉCNICAS'!$F$944+'ESTIMATIVA DE HORAS TÉCNICAS'!L704*'ESTIMATIVA DE HORAS TÉCNICAS'!F$951+'ESTIMATIVA DE HORAS TÉCNICAS'!M704*'ESTIMATIVA DE HORAS TÉCNICAS'!F$950+'ESTIMATIVA DE HORAS TÉCNICAS'!N704*'ESTIMATIVA DE HORAS TÉCNICAS'!F$949+'ESTIMATIVA DE HORAS TÉCNICAS'!O704*'ESTIMATIVA DE HORAS TÉCNICAS'!F$948+'ESTIMATIVA DE HORAS TÉCNICAS'!P704*'ESTIMATIVA DE HORAS TÉCNICAS'!$F$947+'ESTIMATIVA DE HORAS TÉCNICAS'!Q704*'ESTIMATIVA DE HORAS TÉCNICAS'!F$953+'ESTIMATIVA DE HORAS TÉCNICAS'!R704*'ESTIMATIVA DE HORAS TÉCNICAS'!F$954</f>
        <v>2898.15956893563</v>
      </c>
      <c r="E696" s="411">
        <f>'CALCULO DO FATO K'!D$10</f>
        <v>2.3175723620309046</v>
      </c>
      <c r="F696" s="714"/>
      <c r="G696" s="714"/>
      <c r="H696" s="411">
        <f t="shared" si="44"/>
        <v>6716.6945177206162</v>
      </c>
      <c r="I696" s="416"/>
      <c r="J696" s="767"/>
    </row>
    <row r="697" spans="1:10" ht="15.75">
      <c r="A697" s="426" t="s">
        <v>681</v>
      </c>
      <c r="B697" s="768" t="s">
        <v>105</v>
      </c>
      <c r="C697" s="409"/>
      <c r="D697" s="787">
        <f>'ESTIMATIVA DE HORAS TÉCNICAS'!F705*'ESTIMATIVA DE HORAS TÉCNICAS'!F$943+'ESTIMATIVA DE HORAS TÉCNICAS'!G705*'ESTIMATIVA DE HORAS TÉCNICAS'!F$942+'ESTIMATIVA DE HORAS TÉCNICAS'!H705*'ESTIMATIVA DE HORAS TÉCNICAS'!F$941+'ESTIMATIVA DE HORAS TÉCNICAS'!I705*'ESTIMATIVA DE HORAS TÉCNICAS'!F$945+'ESTIMATIVA DE HORAS TÉCNICAS'!J705*'ESTIMATIVA DE HORAS TÉCNICAS'!F$946+'ESTIMATIVA DE HORAS TÉCNICAS'!K705*'ESTIMATIVA DE HORAS TÉCNICAS'!$F$944+'ESTIMATIVA DE HORAS TÉCNICAS'!L705*'ESTIMATIVA DE HORAS TÉCNICAS'!F$951+'ESTIMATIVA DE HORAS TÉCNICAS'!M705*'ESTIMATIVA DE HORAS TÉCNICAS'!F$950+'ESTIMATIVA DE HORAS TÉCNICAS'!N705*'ESTIMATIVA DE HORAS TÉCNICAS'!F$949+'ESTIMATIVA DE HORAS TÉCNICAS'!O705*'ESTIMATIVA DE HORAS TÉCNICAS'!F$948+'ESTIMATIVA DE HORAS TÉCNICAS'!P705*'ESTIMATIVA DE HORAS TÉCNICAS'!$F$947+'ESTIMATIVA DE HORAS TÉCNICAS'!Q705*'ESTIMATIVA DE HORAS TÉCNICAS'!F$953+'ESTIMATIVA DE HORAS TÉCNICAS'!R705*'ESTIMATIVA DE HORAS TÉCNICAS'!F$954</f>
        <v>5910.4406931910125</v>
      </c>
      <c r="E697" s="411">
        <f>'CALCULO DO FATO K'!D$10</f>
        <v>2.3175723620309046</v>
      </c>
      <c r="F697" s="714"/>
      <c r="G697" s="714"/>
      <c r="H697" s="411">
        <f t="shared" si="44"/>
        <v>13697.873997962271</v>
      </c>
      <c r="I697" s="416"/>
      <c r="J697" s="767"/>
    </row>
    <row r="698" spans="1:10" ht="15.75">
      <c r="A698" s="426" t="s">
        <v>682</v>
      </c>
      <c r="B698" s="768" t="s">
        <v>595</v>
      </c>
      <c r="C698" s="409"/>
      <c r="D698" s="787">
        <f>'ESTIMATIVA DE HORAS TÉCNICAS'!F706*'ESTIMATIVA DE HORAS TÉCNICAS'!F$943+'ESTIMATIVA DE HORAS TÉCNICAS'!G706*'ESTIMATIVA DE HORAS TÉCNICAS'!F$942+'ESTIMATIVA DE HORAS TÉCNICAS'!H706*'ESTIMATIVA DE HORAS TÉCNICAS'!F$941+'ESTIMATIVA DE HORAS TÉCNICAS'!I706*'ESTIMATIVA DE HORAS TÉCNICAS'!F$945+'ESTIMATIVA DE HORAS TÉCNICAS'!J706*'ESTIMATIVA DE HORAS TÉCNICAS'!F$946+'ESTIMATIVA DE HORAS TÉCNICAS'!K706*'ESTIMATIVA DE HORAS TÉCNICAS'!$F$944+'ESTIMATIVA DE HORAS TÉCNICAS'!L706*'ESTIMATIVA DE HORAS TÉCNICAS'!F$951+'ESTIMATIVA DE HORAS TÉCNICAS'!M706*'ESTIMATIVA DE HORAS TÉCNICAS'!F$950+'ESTIMATIVA DE HORAS TÉCNICAS'!N706*'ESTIMATIVA DE HORAS TÉCNICAS'!F$949+'ESTIMATIVA DE HORAS TÉCNICAS'!O706*'ESTIMATIVA DE HORAS TÉCNICAS'!F$948+'ESTIMATIVA DE HORAS TÉCNICAS'!P706*'ESTIMATIVA DE HORAS TÉCNICAS'!$F$947+'ESTIMATIVA DE HORAS TÉCNICAS'!Q706*'ESTIMATIVA DE HORAS TÉCNICAS'!F$953+'ESTIMATIVA DE HORAS TÉCNICAS'!R706*'ESTIMATIVA DE HORAS TÉCNICAS'!F$954</f>
        <v>5910.4406931910125</v>
      </c>
      <c r="E698" s="411">
        <f>'CALCULO DO FATO K'!D$10</f>
        <v>2.3175723620309046</v>
      </c>
      <c r="F698" s="714"/>
      <c r="G698" s="714"/>
      <c r="H698" s="411">
        <f t="shared" si="44"/>
        <v>13697.873997962271</v>
      </c>
      <c r="I698" s="416"/>
      <c r="J698" s="767"/>
    </row>
    <row r="699" spans="1:10" ht="15.75">
      <c r="A699" s="426" t="s">
        <v>683</v>
      </c>
      <c r="B699" s="768" t="s">
        <v>597</v>
      </c>
      <c r="C699" s="409"/>
      <c r="D699" s="787">
        <f>'ESTIMATIVA DE HORAS TÉCNICAS'!F707*'ESTIMATIVA DE HORAS TÉCNICAS'!F$943+'ESTIMATIVA DE HORAS TÉCNICAS'!G707*'ESTIMATIVA DE HORAS TÉCNICAS'!F$942+'ESTIMATIVA DE HORAS TÉCNICAS'!H707*'ESTIMATIVA DE HORAS TÉCNICAS'!F$941+'ESTIMATIVA DE HORAS TÉCNICAS'!I707*'ESTIMATIVA DE HORAS TÉCNICAS'!F$945+'ESTIMATIVA DE HORAS TÉCNICAS'!J707*'ESTIMATIVA DE HORAS TÉCNICAS'!F$946+'ESTIMATIVA DE HORAS TÉCNICAS'!K707*'ESTIMATIVA DE HORAS TÉCNICAS'!$F$944+'ESTIMATIVA DE HORAS TÉCNICAS'!L707*'ESTIMATIVA DE HORAS TÉCNICAS'!F$951+'ESTIMATIVA DE HORAS TÉCNICAS'!M707*'ESTIMATIVA DE HORAS TÉCNICAS'!F$950+'ESTIMATIVA DE HORAS TÉCNICAS'!N707*'ESTIMATIVA DE HORAS TÉCNICAS'!F$949+'ESTIMATIVA DE HORAS TÉCNICAS'!O707*'ESTIMATIVA DE HORAS TÉCNICAS'!F$948+'ESTIMATIVA DE HORAS TÉCNICAS'!P707*'ESTIMATIVA DE HORAS TÉCNICAS'!$F$947+'ESTIMATIVA DE HORAS TÉCNICAS'!Q707*'ESTIMATIVA DE HORAS TÉCNICAS'!F$953+'ESTIMATIVA DE HORAS TÉCNICAS'!R707*'ESTIMATIVA DE HORAS TÉCNICAS'!F$954</f>
        <v>442.79006755408011</v>
      </c>
      <c r="E699" s="411">
        <f>'CALCULO DO FATO K'!D$10</f>
        <v>2.3175723620309046</v>
      </c>
      <c r="F699" s="714"/>
      <c r="G699" s="714"/>
      <c r="H699" s="411">
        <f t="shared" si="44"/>
        <v>1026.1980227451331</v>
      </c>
      <c r="I699" s="416"/>
      <c r="J699" s="767"/>
    </row>
    <row r="700" spans="1:10" ht="15.75">
      <c r="A700" s="426" t="s">
        <v>684</v>
      </c>
      <c r="B700" s="768" t="s">
        <v>150</v>
      </c>
      <c r="C700" s="409"/>
      <c r="D700" s="787">
        <f>'ESTIMATIVA DE HORAS TÉCNICAS'!F708*'ESTIMATIVA DE HORAS TÉCNICAS'!F$943+'ESTIMATIVA DE HORAS TÉCNICAS'!G708*'ESTIMATIVA DE HORAS TÉCNICAS'!F$942+'ESTIMATIVA DE HORAS TÉCNICAS'!H708*'ESTIMATIVA DE HORAS TÉCNICAS'!F$941+'ESTIMATIVA DE HORAS TÉCNICAS'!I708*'ESTIMATIVA DE HORAS TÉCNICAS'!F$945+'ESTIMATIVA DE HORAS TÉCNICAS'!J708*'ESTIMATIVA DE HORAS TÉCNICAS'!F$946+'ESTIMATIVA DE HORAS TÉCNICAS'!K708*'ESTIMATIVA DE HORAS TÉCNICAS'!$F$944+'ESTIMATIVA DE HORAS TÉCNICAS'!L708*'ESTIMATIVA DE HORAS TÉCNICAS'!F$951+'ESTIMATIVA DE HORAS TÉCNICAS'!M708*'ESTIMATIVA DE HORAS TÉCNICAS'!F$950+'ESTIMATIVA DE HORAS TÉCNICAS'!N708*'ESTIMATIVA DE HORAS TÉCNICAS'!F$949+'ESTIMATIVA DE HORAS TÉCNICAS'!O708*'ESTIMATIVA DE HORAS TÉCNICAS'!F$948+'ESTIMATIVA DE HORAS TÉCNICAS'!P708*'ESTIMATIVA DE HORAS TÉCNICAS'!$F$947+'ESTIMATIVA DE HORAS TÉCNICAS'!Q708*'ESTIMATIVA DE HORAS TÉCNICAS'!F$953+'ESTIMATIVA DE HORAS TÉCNICAS'!R708*'ESTIMATIVA DE HORAS TÉCNICAS'!F$954</f>
        <v>4081.0535205866595</v>
      </c>
      <c r="E700" s="411">
        <f>'CALCULO DO FATO K'!D$10</f>
        <v>2.3175723620309046</v>
      </c>
      <c r="F700" s="714"/>
      <c r="G700" s="714"/>
      <c r="H700" s="411">
        <f t="shared" si="44"/>
        <v>9458.1368472805625</v>
      </c>
      <c r="I700" s="416">
        <f>SUM(H694:H700)</f>
        <v>66239.750601073145</v>
      </c>
      <c r="J700" s="767"/>
    </row>
    <row r="701" spans="1:10" s="532" customFormat="1" ht="15.75">
      <c r="A701" s="426"/>
      <c r="B701" s="768"/>
      <c r="C701" s="409"/>
      <c r="D701" s="787"/>
      <c r="E701" s="411"/>
      <c r="F701" s="714"/>
      <c r="G701" s="714"/>
      <c r="H701" s="411"/>
      <c r="I701" s="416"/>
      <c r="J701" s="767"/>
    </row>
    <row r="702" spans="1:10" s="318" customFormat="1" ht="15.75">
      <c r="A702" s="426"/>
      <c r="B702" s="768"/>
      <c r="C702" s="409"/>
      <c r="D702" s="787"/>
      <c r="E702" s="411"/>
      <c r="F702" s="714"/>
      <c r="G702" s="714"/>
      <c r="H702" s="411"/>
      <c r="I702" s="416"/>
      <c r="J702" s="767"/>
    </row>
    <row r="703" spans="1:10" ht="15.75">
      <c r="A703" s="391" t="s">
        <v>685</v>
      </c>
      <c r="B703" s="427" t="s">
        <v>181</v>
      </c>
      <c r="C703" s="474"/>
      <c r="D703" s="796"/>
      <c r="E703" s="475"/>
      <c r="F703" s="475"/>
      <c r="G703" s="475"/>
      <c r="H703" s="475"/>
      <c r="I703" s="476"/>
      <c r="J703" s="767"/>
    </row>
    <row r="704" spans="1:10" ht="15.75">
      <c r="A704" s="426" t="s">
        <v>686</v>
      </c>
      <c r="B704" s="428" t="s">
        <v>326</v>
      </c>
      <c r="C704" s="409"/>
      <c r="D704" s="787">
        <f>'ESTIMATIVA DE HORAS TÉCNICAS'!F712*'ESTIMATIVA DE HORAS TÉCNICAS'!F$943+'ESTIMATIVA DE HORAS TÉCNICAS'!G712*'ESTIMATIVA DE HORAS TÉCNICAS'!F$942+'ESTIMATIVA DE HORAS TÉCNICAS'!H712*'ESTIMATIVA DE HORAS TÉCNICAS'!F$941+'ESTIMATIVA DE HORAS TÉCNICAS'!I712*'ESTIMATIVA DE HORAS TÉCNICAS'!F$945+'ESTIMATIVA DE HORAS TÉCNICAS'!J712*'ESTIMATIVA DE HORAS TÉCNICAS'!F$946+'ESTIMATIVA DE HORAS TÉCNICAS'!K712*'ESTIMATIVA DE HORAS TÉCNICAS'!$F$944+'ESTIMATIVA DE HORAS TÉCNICAS'!L712*'ESTIMATIVA DE HORAS TÉCNICAS'!F$951+'ESTIMATIVA DE HORAS TÉCNICAS'!M712*'ESTIMATIVA DE HORAS TÉCNICAS'!F$950+'ESTIMATIVA DE HORAS TÉCNICAS'!N712*'ESTIMATIVA DE HORAS TÉCNICAS'!F$949+'ESTIMATIVA DE HORAS TÉCNICAS'!O712*'ESTIMATIVA DE HORAS TÉCNICAS'!F$948+'ESTIMATIVA DE HORAS TÉCNICAS'!P712*'ESTIMATIVA DE HORAS TÉCNICAS'!$F$947+'ESTIMATIVA DE HORAS TÉCNICAS'!Q712*'ESTIMATIVA DE HORAS TÉCNICAS'!F$953+'ESTIMATIVA DE HORAS TÉCNICAS'!R712*'ESTIMATIVA DE HORAS TÉCNICAS'!F$954</f>
        <v>4239.9198320603473</v>
      </c>
      <c r="E704" s="411">
        <f>'CALCULO DO FATO K'!D$10</f>
        <v>2.3175723620309046</v>
      </c>
      <c r="F704" s="714"/>
      <c r="G704" s="714"/>
      <c r="H704" s="411">
        <f>D704*E704</f>
        <v>9826.3210200097747</v>
      </c>
      <c r="I704" s="416"/>
      <c r="J704" s="767"/>
    </row>
    <row r="705" spans="1:10" ht="15.75">
      <c r="A705" s="426" t="s">
        <v>687</v>
      </c>
      <c r="B705" s="768" t="s">
        <v>135</v>
      </c>
      <c r="C705" s="409"/>
      <c r="D705" s="787">
        <f>'ESTIMATIVA DE HORAS TÉCNICAS'!F713*'ESTIMATIVA DE HORAS TÉCNICAS'!F$943+'ESTIMATIVA DE HORAS TÉCNICAS'!G713*'ESTIMATIVA DE HORAS TÉCNICAS'!F$942+'ESTIMATIVA DE HORAS TÉCNICAS'!H713*'ESTIMATIVA DE HORAS TÉCNICAS'!F$941+'ESTIMATIVA DE HORAS TÉCNICAS'!I713*'ESTIMATIVA DE HORAS TÉCNICAS'!F$945+'ESTIMATIVA DE HORAS TÉCNICAS'!J713*'ESTIMATIVA DE HORAS TÉCNICAS'!F$946+'ESTIMATIVA DE HORAS TÉCNICAS'!K713*'ESTIMATIVA DE HORAS TÉCNICAS'!$F$944+'ESTIMATIVA DE HORAS TÉCNICAS'!L713*'ESTIMATIVA DE HORAS TÉCNICAS'!F$951+'ESTIMATIVA DE HORAS TÉCNICAS'!M713*'ESTIMATIVA DE HORAS TÉCNICAS'!F$950+'ESTIMATIVA DE HORAS TÉCNICAS'!N713*'ESTIMATIVA DE HORAS TÉCNICAS'!F$949+'ESTIMATIVA DE HORAS TÉCNICAS'!O713*'ESTIMATIVA DE HORAS TÉCNICAS'!F$948+'ESTIMATIVA DE HORAS TÉCNICAS'!P713*'ESTIMATIVA DE HORAS TÉCNICAS'!$F$947+'ESTIMATIVA DE HORAS TÉCNICAS'!Q713*'ESTIMATIVA DE HORAS TÉCNICAS'!F$953+'ESTIMATIVA DE HORAS TÉCNICAS'!R713*'ESTIMATIVA DE HORAS TÉCNICAS'!F$954</f>
        <v>2993.5430131956341</v>
      </c>
      <c r="E705" s="411">
        <f>'CALCULO DO FATO K'!D$10</f>
        <v>2.3175723620309046</v>
      </c>
      <c r="F705" s="714"/>
      <c r="G705" s="714"/>
      <c r="H705" s="411">
        <f t="shared" ref="H705:H710" si="45">D705*E705</f>
        <v>6937.7525519329174</v>
      </c>
      <c r="I705" s="416"/>
      <c r="J705" s="767"/>
    </row>
    <row r="706" spans="1:10" ht="15.75">
      <c r="A706" s="426" t="s">
        <v>688</v>
      </c>
      <c r="B706" s="768" t="s">
        <v>112</v>
      </c>
      <c r="C706" s="409"/>
      <c r="D706" s="787">
        <f>'ESTIMATIVA DE HORAS TÉCNICAS'!F714*'ESTIMATIVA DE HORAS TÉCNICAS'!F$943+'ESTIMATIVA DE HORAS TÉCNICAS'!G714*'ESTIMATIVA DE HORAS TÉCNICAS'!F$942+'ESTIMATIVA DE HORAS TÉCNICAS'!H714*'ESTIMATIVA DE HORAS TÉCNICAS'!F$941+'ESTIMATIVA DE HORAS TÉCNICAS'!I714*'ESTIMATIVA DE HORAS TÉCNICAS'!F$945+'ESTIMATIVA DE HORAS TÉCNICAS'!J714*'ESTIMATIVA DE HORAS TÉCNICAS'!F$946+'ESTIMATIVA DE HORAS TÉCNICAS'!K714*'ESTIMATIVA DE HORAS TÉCNICAS'!$F$944+'ESTIMATIVA DE HORAS TÉCNICAS'!L714*'ESTIMATIVA DE HORAS TÉCNICAS'!F$951+'ESTIMATIVA DE HORAS TÉCNICAS'!M714*'ESTIMATIVA DE HORAS TÉCNICAS'!F$950+'ESTIMATIVA DE HORAS TÉCNICAS'!N714*'ESTIMATIVA DE HORAS TÉCNICAS'!F$949+'ESTIMATIVA DE HORAS TÉCNICAS'!O714*'ESTIMATIVA DE HORAS TÉCNICAS'!F$948+'ESTIMATIVA DE HORAS TÉCNICAS'!P714*'ESTIMATIVA DE HORAS TÉCNICAS'!$F$947+'ESTIMATIVA DE HORAS TÉCNICAS'!Q714*'ESTIMATIVA DE HORAS TÉCNICAS'!F$953+'ESTIMATIVA DE HORAS TÉCNICAS'!R714*'ESTIMATIVA DE HORAS TÉCNICAS'!F$954</f>
        <v>2183.9943542964611</v>
      </c>
      <c r="E706" s="411">
        <f>'CALCULO DO FATO K'!D$10</f>
        <v>2.3175723620309046</v>
      </c>
      <c r="F706" s="714"/>
      <c r="G706" s="714"/>
      <c r="H706" s="411">
        <f t="shared" si="45"/>
        <v>5061.5649543490099</v>
      </c>
      <c r="I706" s="416"/>
      <c r="J706" s="767"/>
    </row>
    <row r="707" spans="1:10" ht="15.75">
      <c r="A707" s="426" t="s">
        <v>689</v>
      </c>
      <c r="B707" s="768" t="s">
        <v>105</v>
      </c>
      <c r="C707" s="409"/>
      <c r="D707" s="787">
        <f>'ESTIMATIVA DE HORAS TÉCNICAS'!F715*'ESTIMATIVA DE HORAS TÉCNICAS'!F$943+'ESTIMATIVA DE HORAS TÉCNICAS'!G715*'ESTIMATIVA DE HORAS TÉCNICAS'!F$942+'ESTIMATIVA DE HORAS TÉCNICAS'!H715*'ESTIMATIVA DE HORAS TÉCNICAS'!F$941+'ESTIMATIVA DE HORAS TÉCNICAS'!I715*'ESTIMATIVA DE HORAS TÉCNICAS'!F$945+'ESTIMATIVA DE HORAS TÉCNICAS'!J715*'ESTIMATIVA DE HORAS TÉCNICAS'!F$946+'ESTIMATIVA DE HORAS TÉCNICAS'!K715*'ESTIMATIVA DE HORAS TÉCNICAS'!$F$944+'ESTIMATIVA DE HORAS TÉCNICAS'!L715*'ESTIMATIVA DE HORAS TÉCNICAS'!F$951+'ESTIMATIVA DE HORAS TÉCNICAS'!M715*'ESTIMATIVA DE HORAS TÉCNICAS'!F$950+'ESTIMATIVA DE HORAS TÉCNICAS'!N715*'ESTIMATIVA DE HORAS TÉCNICAS'!F$949+'ESTIMATIVA DE HORAS TÉCNICAS'!O715*'ESTIMATIVA DE HORAS TÉCNICAS'!F$948+'ESTIMATIVA DE HORAS TÉCNICAS'!P715*'ESTIMATIVA DE HORAS TÉCNICAS'!$F$947+'ESTIMATIVA DE HORAS TÉCNICAS'!Q715*'ESTIMATIVA DE HORAS TÉCNICAS'!F$953+'ESTIMATIVA DE HORAS TÉCNICAS'!R715*'ESTIMATIVA DE HORAS TÉCNICAS'!F$954</f>
        <v>2905.0384220396504</v>
      </c>
      <c r="E707" s="411">
        <f>'CALCULO DO FATO K'!D$10</f>
        <v>2.3175723620309046</v>
      </c>
      <c r="F707" s="714"/>
      <c r="G707" s="714"/>
      <c r="H707" s="411">
        <f t="shared" si="45"/>
        <v>6732.6367575569648</v>
      </c>
      <c r="I707" s="416"/>
      <c r="J707" s="767"/>
    </row>
    <row r="708" spans="1:10" ht="15.75">
      <c r="A708" s="426" t="s">
        <v>690</v>
      </c>
      <c r="B708" s="768" t="s">
        <v>595</v>
      </c>
      <c r="C708" s="409"/>
      <c r="D708" s="787">
        <f>'ESTIMATIVA DE HORAS TÉCNICAS'!F716*'ESTIMATIVA DE HORAS TÉCNICAS'!F$943+'ESTIMATIVA DE HORAS TÉCNICAS'!G716*'ESTIMATIVA DE HORAS TÉCNICAS'!F$942+'ESTIMATIVA DE HORAS TÉCNICAS'!H716*'ESTIMATIVA DE HORAS TÉCNICAS'!F$941+'ESTIMATIVA DE HORAS TÉCNICAS'!I716*'ESTIMATIVA DE HORAS TÉCNICAS'!F$945+'ESTIMATIVA DE HORAS TÉCNICAS'!J716*'ESTIMATIVA DE HORAS TÉCNICAS'!F$946+'ESTIMATIVA DE HORAS TÉCNICAS'!K716*'ESTIMATIVA DE HORAS TÉCNICAS'!$F$944+'ESTIMATIVA DE HORAS TÉCNICAS'!L716*'ESTIMATIVA DE HORAS TÉCNICAS'!F$951+'ESTIMATIVA DE HORAS TÉCNICAS'!M716*'ESTIMATIVA DE HORAS TÉCNICAS'!F$950+'ESTIMATIVA DE HORAS TÉCNICAS'!N716*'ESTIMATIVA DE HORAS TÉCNICAS'!F$949+'ESTIMATIVA DE HORAS TÉCNICAS'!O716*'ESTIMATIVA DE HORAS TÉCNICAS'!F$948+'ESTIMATIVA DE HORAS TÉCNICAS'!P716*'ESTIMATIVA DE HORAS TÉCNICAS'!$F$947+'ESTIMATIVA DE HORAS TÉCNICAS'!Q716*'ESTIMATIVA DE HORAS TÉCNICAS'!F$953+'ESTIMATIVA DE HORAS TÉCNICAS'!R716*'ESTIMATIVA DE HORAS TÉCNICAS'!F$954</f>
        <v>2349.4457952050266</v>
      </c>
      <c r="E708" s="411">
        <f>'CALCULO DO FATO K'!D$10</f>
        <v>2.3175723620309046</v>
      </c>
      <c r="F708" s="714"/>
      <c r="G708" s="714"/>
      <c r="H708" s="411">
        <f t="shared" si="45"/>
        <v>5445.0106410568906</v>
      </c>
      <c r="I708" s="416"/>
      <c r="J708" s="767"/>
    </row>
    <row r="709" spans="1:10" ht="15.75">
      <c r="A709" s="426" t="s">
        <v>691</v>
      </c>
      <c r="B709" s="768" t="s">
        <v>597</v>
      </c>
      <c r="C709" s="409"/>
      <c r="D709" s="787">
        <f>'ESTIMATIVA DE HORAS TÉCNICAS'!F717*'ESTIMATIVA DE HORAS TÉCNICAS'!F$943+'ESTIMATIVA DE HORAS TÉCNICAS'!G717*'ESTIMATIVA DE HORAS TÉCNICAS'!F$942+'ESTIMATIVA DE HORAS TÉCNICAS'!H717*'ESTIMATIVA DE HORAS TÉCNICAS'!F$941+'ESTIMATIVA DE HORAS TÉCNICAS'!I717*'ESTIMATIVA DE HORAS TÉCNICAS'!F$945+'ESTIMATIVA DE HORAS TÉCNICAS'!J717*'ESTIMATIVA DE HORAS TÉCNICAS'!F$946+'ESTIMATIVA DE HORAS TÉCNICAS'!K717*'ESTIMATIVA DE HORAS TÉCNICAS'!$F$944+'ESTIMATIVA DE HORAS TÉCNICAS'!L717*'ESTIMATIVA DE HORAS TÉCNICAS'!F$951+'ESTIMATIVA DE HORAS TÉCNICAS'!M717*'ESTIMATIVA DE HORAS TÉCNICAS'!F$950+'ESTIMATIVA DE HORAS TÉCNICAS'!N717*'ESTIMATIVA DE HORAS TÉCNICAS'!F$949+'ESTIMATIVA DE HORAS TÉCNICAS'!O717*'ESTIMATIVA DE HORAS TÉCNICAS'!F$948+'ESTIMATIVA DE HORAS TÉCNICAS'!P717*'ESTIMATIVA DE HORAS TÉCNICAS'!$F$947+'ESTIMATIVA DE HORAS TÉCNICAS'!Q717*'ESTIMATIVA DE HORAS TÉCNICAS'!F$953+'ESTIMATIVA DE HORAS TÉCNICAS'!R717*'ESTIMATIVA DE HORAS TÉCNICAS'!F$954</f>
        <v>458.8452034501961</v>
      </c>
      <c r="E709" s="411">
        <f>'CALCULO DO FATO K'!D$10</f>
        <v>2.3175723620309046</v>
      </c>
      <c r="F709" s="714"/>
      <c r="G709" s="714"/>
      <c r="H709" s="411">
        <f>D709*E709</f>
        <v>1063.406961966622</v>
      </c>
      <c r="I709" s="416"/>
      <c r="J709" s="767"/>
    </row>
    <row r="710" spans="1:10" ht="15.75">
      <c r="A710" s="426" t="s">
        <v>692</v>
      </c>
      <c r="B710" s="768" t="s">
        <v>150</v>
      </c>
      <c r="C710" s="409"/>
      <c r="D710" s="787">
        <f>'ESTIMATIVA DE HORAS TÉCNICAS'!F718*'ESTIMATIVA DE HORAS TÉCNICAS'!F$943+'ESTIMATIVA DE HORAS TÉCNICAS'!G718*'ESTIMATIVA DE HORAS TÉCNICAS'!F$942+'ESTIMATIVA DE HORAS TÉCNICAS'!H718*'ESTIMATIVA DE HORAS TÉCNICAS'!F$941+'ESTIMATIVA DE HORAS TÉCNICAS'!I718*'ESTIMATIVA DE HORAS TÉCNICAS'!F$945+'ESTIMATIVA DE HORAS TÉCNICAS'!J718*'ESTIMATIVA DE HORAS TÉCNICAS'!F$946+'ESTIMATIVA DE HORAS TÉCNICAS'!K718*'ESTIMATIVA DE HORAS TÉCNICAS'!$F$944+'ESTIMATIVA DE HORAS TÉCNICAS'!L718*'ESTIMATIVA DE HORAS TÉCNICAS'!F$951+'ESTIMATIVA DE HORAS TÉCNICAS'!M718*'ESTIMATIVA DE HORAS TÉCNICAS'!F$950+'ESTIMATIVA DE HORAS TÉCNICAS'!N718*'ESTIMATIVA DE HORAS TÉCNICAS'!F$949+'ESTIMATIVA DE HORAS TÉCNICAS'!O718*'ESTIMATIVA DE HORAS TÉCNICAS'!F$948+'ESTIMATIVA DE HORAS TÉCNICAS'!P718*'ESTIMATIVA DE HORAS TÉCNICAS'!$F$947+'ESTIMATIVA DE HORAS TÉCNICAS'!Q718*'ESTIMATIVA DE HORAS TÉCNICAS'!F$953+'ESTIMATIVA DE HORAS TÉCNICAS'!R718*'ESTIMATIVA DE HORAS TÉCNICAS'!F$954</f>
        <v>2484.7312505909672</v>
      </c>
      <c r="E710" s="411">
        <f>'CALCULO DO FATO K'!D$10</f>
        <v>2.3175723620309046</v>
      </c>
      <c r="F710" s="714"/>
      <c r="G710" s="714"/>
      <c r="H710" s="411">
        <f t="shared" si="45"/>
        <v>5758.5444734441116</v>
      </c>
      <c r="I710" s="416">
        <f>SUM(H704:H710)</f>
        <v>40825.237360316285</v>
      </c>
      <c r="J710" s="767"/>
    </row>
    <row r="711" spans="1:10" s="532" customFormat="1" ht="15.75">
      <c r="A711" s="426"/>
      <c r="B711" s="768"/>
      <c r="C711" s="409"/>
      <c r="D711" s="787"/>
      <c r="E711" s="411"/>
      <c r="F711" s="714"/>
      <c r="G711" s="714"/>
      <c r="H711" s="411"/>
      <c r="I711" s="416"/>
      <c r="J711" s="767"/>
    </row>
    <row r="712" spans="1:10" s="318" customFormat="1" ht="15.75">
      <c r="A712" s="426"/>
      <c r="B712" s="768"/>
      <c r="C712" s="409"/>
      <c r="D712" s="787"/>
      <c r="E712" s="411"/>
      <c r="F712" s="714"/>
      <c r="G712" s="714"/>
      <c r="H712" s="411"/>
      <c r="I712" s="416"/>
      <c r="J712" s="767"/>
    </row>
    <row r="713" spans="1:10" ht="15.75">
      <c r="A713" s="391" t="s">
        <v>693</v>
      </c>
      <c r="B713" s="427" t="s">
        <v>187</v>
      </c>
      <c r="C713" s="474"/>
      <c r="D713" s="796"/>
      <c r="E713" s="475"/>
      <c r="F713" s="475"/>
      <c r="G713" s="475"/>
      <c r="H713" s="475"/>
      <c r="I713" s="476"/>
      <c r="J713" s="767"/>
    </row>
    <row r="714" spans="1:10" ht="15.75">
      <c r="A714" s="426" t="s">
        <v>694</v>
      </c>
      <c r="B714" s="428" t="s">
        <v>326</v>
      </c>
      <c r="C714" s="410"/>
      <c r="D714" s="787">
        <f>'ESTIMATIVA DE HORAS TÉCNICAS'!F722*'ESTIMATIVA DE HORAS TÉCNICAS'!F$943+'ESTIMATIVA DE HORAS TÉCNICAS'!G722*'ESTIMATIVA DE HORAS TÉCNICAS'!F$942+'ESTIMATIVA DE HORAS TÉCNICAS'!H722*'ESTIMATIVA DE HORAS TÉCNICAS'!F$941+'ESTIMATIVA DE HORAS TÉCNICAS'!I722*'ESTIMATIVA DE HORAS TÉCNICAS'!F$945+'ESTIMATIVA DE HORAS TÉCNICAS'!J722*'ESTIMATIVA DE HORAS TÉCNICAS'!F$946+'ESTIMATIVA DE HORAS TÉCNICAS'!K722*'ESTIMATIVA DE HORAS TÉCNICAS'!$F$944+'ESTIMATIVA DE HORAS TÉCNICAS'!L722*'ESTIMATIVA DE HORAS TÉCNICAS'!F$951+'ESTIMATIVA DE HORAS TÉCNICAS'!M722*'ESTIMATIVA DE HORAS TÉCNICAS'!F$950+'ESTIMATIVA DE HORAS TÉCNICAS'!N722*'ESTIMATIVA DE HORAS TÉCNICAS'!F$949+'ESTIMATIVA DE HORAS TÉCNICAS'!O722*'ESTIMATIVA DE HORAS TÉCNICAS'!F$948+'ESTIMATIVA DE HORAS TÉCNICAS'!P722*'ESTIMATIVA DE HORAS TÉCNICAS'!$F$947+'ESTIMATIVA DE HORAS TÉCNICAS'!Q722*'ESTIMATIVA DE HORAS TÉCNICAS'!F$953+'ESTIMATIVA DE HORAS TÉCNICAS'!R722*'ESTIMATIVA DE HORAS TÉCNICAS'!F$954</f>
        <v>1943.5415725497201</v>
      </c>
      <c r="E714" s="411">
        <f>'CALCULO DO FATO K'!D$10</f>
        <v>2.3175723620309046</v>
      </c>
      <c r="F714" s="714"/>
      <c r="G714" s="714"/>
      <c r="H714" s="411">
        <f>D714*E714</f>
        <v>4504.2982329993138</v>
      </c>
      <c r="I714" s="416"/>
      <c r="J714" s="767"/>
    </row>
    <row r="715" spans="1:10" ht="15.75">
      <c r="A715" s="426" t="s">
        <v>695</v>
      </c>
      <c r="B715" s="768" t="s">
        <v>135</v>
      </c>
      <c r="C715" s="410"/>
      <c r="D715" s="787">
        <f>'ESTIMATIVA DE HORAS TÉCNICAS'!F723*'ESTIMATIVA DE HORAS TÉCNICAS'!F$943+'ESTIMATIVA DE HORAS TÉCNICAS'!G723*'ESTIMATIVA DE HORAS TÉCNICAS'!F$942+'ESTIMATIVA DE HORAS TÉCNICAS'!H723*'ESTIMATIVA DE HORAS TÉCNICAS'!F$941+'ESTIMATIVA DE HORAS TÉCNICAS'!I723*'ESTIMATIVA DE HORAS TÉCNICAS'!F$945+'ESTIMATIVA DE HORAS TÉCNICAS'!J723*'ESTIMATIVA DE HORAS TÉCNICAS'!F$946+'ESTIMATIVA DE HORAS TÉCNICAS'!K723*'ESTIMATIVA DE HORAS TÉCNICAS'!$F$944+'ESTIMATIVA DE HORAS TÉCNICAS'!L723*'ESTIMATIVA DE HORAS TÉCNICAS'!F$951+'ESTIMATIVA DE HORAS TÉCNICAS'!M723*'ESTIMATIVA DE HORAS TÉCNICAS'!F$950+'ESTIMATIVA DE HORAS TÉCNICAS'!N723*'ESTIMATIVA DE HORAS TÉCNICAS'!F$949+'ESTIMATIVA DE HORAS TÉCNICAS'!O723*'ESTIMATIVA DE HORAS TÉCNICAS'!F$948+'ESTIMATIVA DE HORAS TÉCNICAS'!P723*'ESTIMATIVA DE HORAS TÉCNICAS'!$F$947+'ESTIMATIVA DE HORAS TÉCNICAS'!Q723*'ESTIMATIVA DE HORAS TÉCNICAS'!F$953+'ESTIMATIVA DE HORAS TÉCNICAS'!R723*'ESTIMATIVA DE HORAS TÉCNICAS'!F$954</f>
        <v>3434.3984745175089</v>
      </c>
      <c r="E715" s="411">
        <f>'CALCULO DO FATO K'!D$10</f>
        <v>2.3175723620309046</v>
      </c>
      <c r="F715" s="714"/>
      <c r="G715" s="714"/>
      <c r="H715" s="411">
        <f t="shared" ref="H715:H720" si="46">D715*E715</f>
        <v>7959.4669847428786</v>
      </c>
      <c r="I715" s="416"/>
      <c r="J715" s="767"/>
    </row>
    <row r="716" spans="1:10" ht="15.75">
      <c r="A716" s="426" t="s">
        <v>696</v>
      </c>
      <c r="B716" s="768" t="s">
        <v>112</v>
      </c>
      <c r="C716" s="410"/>
      <c r="D716" s="787">
        <f>'ESTIMATIVA DE HORAS TÉCNICAS'!F724*'ESTIMATIVA DE HORAS TÉCNICAS'!F$943+'ESTIMATIVA DE HORAS TÉCNICAS'!G724*'ESTIMATIVA DE HORAS TÉCNICAS'!F$942+'ESTIMATIVA DE HORAS TÉCNICAS'!H724*'ESTIMATIVA DE HORAS TÉCNICAS'!F$941+'ESTIMATIVA DE HORAS TÉCNICAS'!I724*'ESTIMATIVA DE HORAS TÉCNICAS'!F$945+'ESTIMATIVA DE HORAS TÉCNICAS'!J724*'ESTIMATIVA DE HORAS TÉCNICAS'!F$946+'ESTIMATIVA DE HORAS TÉCNICAS'!K724*'ESTIMATIVA DE HORAS TÉCNICAS'!$F$944+'ESTIMATIVA DE HORAS TÉCNICAS'!L724*'ESTIMATIVA DE HORAS TÉCNICAS'!F$951+'ESTIMATIVA DE HORAS TÉCNICAS'!M724*'ESTIMATIVA DE HORAS TÉCNICAS'!F$950+'ESTIMATIVA DE HORAS TÉCNICAS'!N724*'ESTIMATIVA DE HORAS TÉCNICAS'!F$949+'ESTIMATIVA DE HORAS TÉCNICAS'!O724*'ESTIMATIVA DE HORAS TÉCNICAS'!F$948+'ESTIMATIVA DE HORAS TÉCNICAS'!P724*'ESTIMATIVA DE HORAS TÉCNICAS'!$F$947+'ESTIMATIVA DE HORAS TÉCNICAS'!Q724*'ESTIMATIVA DE HORAS TÉCNICAS'!F$953+'ESTIMATIVA DE HORAS TÉCNICAS'!R724*'ESTIMATIVA DE HORAS TÉCNICAS'!F$954</f>
        <v>1973.4693169998848</v>
      </c>
      <c r="E716" s="411">
        <f>'CALCULO DO FATO K'!D$10</f>
        <v>2.3175723620309046</v>
      </c>
      <c r="F716" s="714"/>
      <c r="G716" s="714"/>
      <c r="H716" s="411">
        <f t="shared" si="46"/>
        <v>4573.6579463949392</v>
      </c>
      <c r="I716" s="416"/>
      <c r="J716" s="767"/>
    </row>
    <row r="717" spans="1:10" ht="15.75">
      <c r="A717" s="426" t="s">
        <v>697</v>
      </c>
      <c r="B717" s="768" t="s">
        <v>105</v>
      </c>
      <c r="C717" s="410"/>
      <c r="D717" s="787">
        <f>'ESTIMATIVA DE HORAS TÉCNICAS'!F725*'ESTIMATIVA DE HORAS TÉCNICAS'!F$943+'ESTIMATIVA DE HORAS TÉCNICAS'!G725*'ESTIMATIVA DE HORAS TÉCNICAS'!F$942+'ESTIMATIVA DE HORAS TÉCNICAS'!H725*'ESTIMATIVA DE HORAS TÉCNICAS'!F$941+'ESTIMATIVA DE HORAS TÉCNICAS'!I725*'ESTIMATIVA DE HORAS TÉCNICAS'!F$945+'ESTIMATIVA DE HORAS TÉCNICAS'!J725*'ESTIMATIVA DE HORAS TÉCNICAS'!F$946+'ESTIMATIVA DE HORAS TÉCNICAS'!K725*'ESTIMATIVA DE HORAS TÉCNICAS'!$F$944+'ESTIMATIVA DE HORAS TÉCNICAS'!L725*'ESTIMATIVA DE HORAS TÉCNICAS'!F$951+'ESTIMATIVA DE HORAS TÉCNICAS'!M725*'ESTIMATIVA DE HORAS TÉCNICAS'!F$950+'ESTIMATIVA DE HORAS TÉCNICAS'!N725*'ESTIMATIVA DE HORAS TÉCNICAS'!F$949+'ESTIMATIVA DE HORAS TÉCNICAS'!O725*'ESTIMATIVA DE HORAS TÉCNICAS'!F$948+'ESTIMATIVA DE HORAS TÉCNICAS'!P725*'ESTIMATIVA DE HORAS TÉCNICAS'!$F$947+'ESTIMATIVA DE HORAS TÉCNICAS'!Q725*'ESTIMATIVA DE HORAS TÉCNICAS'!F$953+'ESTIMATIVA DE HORAS TÉCNICAS'!R725*'ESTIMATIVA DE HORAS TÉCNICAS'!F$954</f>
        <v>3156.6939999789884</v>
      </c>
      <c r="E717" s="411">
        <f>'CALCULO DO FATO K'!D$10</f>
        <v>2.3175723620309046</v>
      </c>
      <c r="F717" s="714"/>
      <c r="G717" s="714"/>
      <c r="H717" s="411">
        <f t="shared" si="46"/>
        <v>7315.8667697400879</v>
      </c>
      <c r="I717" s="416"/>
      <c r="J717" s="767"/>
    </row>
    <row r="718" spans="1:10" ht="15.75">
      <c r="A718" s="426" t="s">
        <v>698</v>
      </c>
      <c r="B718" s="768" t="s">
        <v>595</v>
      </c>
      <c r="C718" s="410"/>
      <c r="D718" s="787">
        <f>'ESTIMATIVA DE HORAS TÉCNICAS'!F726*'ESTIMATIVA DE HORAS TÉCNICAS'!F$943+'ESTIMATIVA DE HORAS TÉCNICAS'!G726*'ESTIMATIVA DE HORAS TÉCNICAS'!F$942+'ESTIMATIVA DE HORAS TÉCNICAS'!H726*'ESTIMATIVA DE HORAS TÉCNICAS'!F$941+'ESTIMATIVA DE HORAS TÉCNICAS'!I726*'ESTIMATIVA DE HORAS TÉCNICAS'!F$945+'ESTIMATIVA DE HORAS TÉCNICAS'!J726*'ESTIMATIVA DE HORAS TÉCNICAS'!F$946+'ESTIMATIVA DE HORAS TÉCNICAS'!K726*'ESTIMATIVA DE HORAS TÉCNICAS'!$F$944+'ESTIMATIVA DE HORAS TÉCNICAS'!L726*'ESTIMATIVA DE HORAS TÉCNICAS'!F$951+'ESTIMATIVA DE HORAS TÉCNICAS'!M726*'ESTIMATIVA DE HORAS TÉCNICAS'!F$950+'ESTIMATIVA DE HORAS TÉCNICAS'!N726*'ESTIMATIVA DE HORAS TÉCNICAS'!F$949+'ESTIMATIVA DE HORAS TÉCNICAS'!O726*'ESTIMATIVA DE HORAS TÉCNICAS'!F$948+'ESTIMATIVA DE HORAS TÉCNICAS'!P726*'ESTIMATIVA DE HORAS TÉCNICAS'!$F$947+'ESTIMATIVA DE HORAS TÉCNICAS'!Q726*'ESTIMATIVA DE HORAS TÉCNICAS'!F$953+'ESTIMATIVA DE HORAS TÉCNICAS'!R726*'ESTIMATIVA DE HORAS TÉCNICAS'!F$954</f>
        <v>2380.2121702404847</v>
      </c>
      <c r="E718" s="411">
        <f>'CALCULO DO FATO K'!D$10</f>
        <v>2.3175723620309046</v>
      </c>
      <c r="F718" s="714"/>
      <c r="G718" s="714"/>
      <c r="H718" s="411">
        <f t="shared" si="46"/>
        <v>5516.3139415189453</v>
      </c>
      <c r="I718" s="416"/>
      <c r="J718" s="767"/>
    </row>
    <row r="719" spans="1:10" ht="15.75">
      <c r="A719" s="426" t="s">
        <v>699</v>
      </c>
      <c r="B719" s="768" t="s">
        <v>597</v>
      </c>
      <c r="C719" s="410"/>
      <c r="D719" s="787">
        <f>'ESTIMATIVA DE HORAS TÉCNICAS'!F727*'ESTIMATIVA DE HORAS TÉCNICAS'!F$943+'ESTIMATIVA DE HORAS TÉCNICAS'!G727*'ESTIMATIVA DE HORAS TÉCNICAS'!F$942+'ESTIMATIVA DE HORAS TÉCNICAS'!H727*'ESTIMATIVA DE HORAS TÉCNICAS'!F$941+'ESTIMATIVA DE HORAS TÉCNICAS'!I727*'ESTIMATIVA DE HORAS TÉCNICAS'!F$945+'ESTIMATIVA DE HORAS TÉCNICAS'!J727*'ESTIMATIVA DE HORAS TÉCNICAS'!F$946+'ESTIMATIVA DE HORAS TÉCNICAS'!K727*'ESTIMATIVA DE HORAS TÉCNICAS'!$F$944+'ESTIMATIVA DE HORAS TÉCNICAS'!L727*'ESTIMATIVA DE HORAS TÉCNICAS'!F$951+'ESTIMATIVA DE HORAS TÉCNICAS'!M727*'ESTIMATIVA DE HORAS TÉCNICAS'!F$950+'ESTIMATIVA DE HORAS TÉCNICAS'!N727*'ESTIMATIVA DE HORAS TÉCNICAS'!F$949+'ESTIMATIVA DE HORAS TÉCNICAS'!O727*'ESTIMATIVA DE HORAS TÉCNICAS'!F$948+'ESTIMATIVA DE HORAS TÉCNICAS'!P727*'ESTIMATIVA DE HORAS TÉCNICAS'!$F$947+'ESTIMATIVA DE HORAS TÉCNICAS'!Q727*'ESTIMATIVA DE HORAS TÉCNICAS'!F$953+'ESTIMATIVA DE HORAS TÉCNICAS'!R727*'ESTIMATIVA DE HORAS TÉCNICAS'!F$954</f>
        <v>83.183105176344526</v>
      </c>
      <c r="E719" s="411">
        <f>'CALCULO DO FATO K'!D$10</f>
        <v>2.3175723620309046</v>
      </c>
      <c r="F719" s="714"/>
      <c r="G719" s="714"/>
      <c r="H719" s="411">
        <f t="shared" si="46"/>
        <v>192.78286554460595</v>
      </c>
      <c r="I719" s="416"/>
      <c r="J719" s="767"/>
    </row>
    <row r="720" spans="1:10" ht="15.75">
      <c r="A720" s="426" t="s">
        <v>700</v>
      </c>
      <c r="B720" s="768" t="s">
        <v>150</v>
      </c>
      <c r="C720" s="410"/>
      <c r="D720" s="787">
        <f>'ESTIMATIVA DE HORAS TÉCNICAS'!F728*'ESTIMATIVA DE HORAS TÉCNICAS'!F$943+'ESTIMATIVA DE HORAS TÉCNICAS'!G728*'ESTIMATIVA DE HORAS TÉCNICAS'!F$942+'ESTIMATIVA DE HORAS TÉCNICAS'!H728*'ESTIMATIVA DE HORAS TÉCNICAS'!F$941+'ESTIMATIVA DE HORAS TÉCNICAS'!I728*'ESTIMATIVA DE HORAS TÉCNICAS'!F$945+'ESTIMATIVA DE HORAS TÉCNICAS'!J728*'ESTIMATIVA DE HORAS TÉCNICAS'!F$946+'ESTIMATIVA DE HORAS TÉCNICAS'!K728*'ESTIMATIVA DE HORAS TÉCNICAS'!$F$944+'ESTIMATIVA DE HORAS TÉCNICAS'!L728*'ESTIMATIVA DE HORAS TÉCNICAS'!F$951+'ESTIMATIVA DE HORAS TÉCNICAS'!M728*'ESTIMATIVA DE HORAS TÉCNICAS'!F$950+'ESTIMATIVA DE HORAS TÉCNICAS'!N728*'ESTIMATIVA DE HORAS TÉCNICAS'!F$949+'ESTIMATIVA DE HORAS TÉCNICAS'!O728*'ESTIMATIVA DE HORAS TÉCNICAS'!F$948+'ESTIMATIVA DE HORAS TÉCNICAS'!P728*'ESTIMATIVA DE HORAS TÉCNICAS'!$F$947+'ESTIMATIVA DE HORAS TÉCNICAS'!Q728*'ESTIMATIVA DE HORAS TÉCNICAS'!F$953+'ESTIMATIVA DE HORAS TÉCNICAS'!R728*'ESTIMATIVA DE HORAS TÉCNICAS'!F$954</f>
        <v>2056.6524221762293</v>
      </c>
      <c r="E720" s="411">
        <f>'CALCULO DO FATO K'!D$10</f>
        <v>2.3175723620309046</v>
      </c>
      <c r="F720" s="714"/>
      <c r="G720" s="714"/>
      <c r="H720" s="411">
        <f t="shared" si="46"/>
        <v>4766.4408119395448</v>
      </c>
      <c r="I720" s="416">
        <f>SUM(H714:H720)</f>
        <v>34828.827552880313</v>
      </c>
      <c r="J720" s="767"/>
    </row>
    <row r="721" spans="1:10" s="532" customFormat="1" ht="15.75">
      <c r="A721" s="426"/>
      <c r="B721" s="768"/>
      <c r="C721" s="410"/>
      <c r="D721" s="787"/>
      <c r="E721" s="411"/>
      <c r="F721" s="714"/>
      <c r="G721" s="714"/>
      <c r="H721" s="411"/>
      <c r="I721" s="416"/>
      <c r="J721" s="767"/>
    </row>
    <row r="722" spans="1:10" s="318" customFormat="1" ht="15.75">
      <c r="A722" s="426"/>
      <c r="B722" s="768"/>
      <c r="C722" s="410"/>
      <c r="D722" s="787"/>
      <c r="E722" s="411"/>
      <c r="F722" s="714"/>
      <c r="G722" s="714"/>
      <c r="H722" s="411"/>
      <c r="I722" s="416"/>
      <c r="J722" s="767"/>
    </row>
    <row r="723" spans="1:10" ht="15.75">
      <c r="A723" s="391" t="s">
        <v>701</v>
      </c>
      <c r="B723" s="427" t="s">
        <v>193</v>
      </c>
      <c r="C723" s="478"/>
      <c r="D723" s="796"/>
      <c r="E723" s="475"/>
      <c r="F723" s="475"/>
      <c r="G723" s="475"/>
      <c r="H723" s="475"/>
      <c r="I723" s="476"/>
      <c r="J723" s="767"/>
    </row>
    <row r="724" spans="1:10" ht="15.75">
      <c r="A724" s="426" t="s">
        <v>702</v>
      </c>
      <c r="B724" s="428" t="s">
        <v>326</v>
      </c>
      <c r="C724" s="410"/>
      <c r="D724" s="787">
        <f>'ESTIMATIVA DE HORAS TÉCNICAS'!F732*'ESTIMATIVA DE HORAS TÉCNICAS'!F$943+'ESTIMATIVA DE HORAS TÉCNICAS'!G732*'ESTIMATIVA DE HORAS TÉCNICAS'!F$942+'ESTIMATIVA DE HORAS TÉCNICAS'!H732*'ESTIMATIVA DE HORAS TÉCNICAS'!F$941+'ESTIMATIVA DE HORAS TÉCNICAS'!I732*'ESTIMATIVA DE HORAS TÉCNICAS'!F$945+'ESTIMATIVA DE HORAS TÉCNICAS'!J732*'ESTIMATIVA DE HORAS TÉCNICAS'!F$946+'ESTIMATIVA DE HORAS TÉCNICAS'!K732*'ESTIMATIVA DE HORAS TÉCNICAS'!$F$944+'ESTIMATIVA DE HORAS TÉCNICAS'!L732*'ESTIMATIVA DE HORAS TÉCNICAS'!F$951+'ESTIMATIVA DE HORAS TÉCNICAS'!M732*'ESTIMATIVA DE HORAS TÉCNICAS'!F$950+'ESTIMATIVA DE HORAS TÉCNICAS'!N732*'ESTIMATIVA DE HORAS TÉCNICAS'!F$949+'ESTIMATIVA DE HORAS TÉCNICAS'!O732*'ESTIMATIVA DE HORAS TÉCNICAS'!F$948+'ESTIMATIVA DE HORAS TÉCNICAS'!P732*'ESTIMATIVA DE HORAS TÉCNICAS'!$F$947+'ESTIMATIVA DE HORAS TÉCNICAS'!Q732*'ESTIMATIVA DE HORAS TÉCNICAS'!F$953+'ESTIMATIVA DE HORAS TÉCNICAS'!R732*'ESTIMATIVA DE HORAS TÉCNICAS'!F$954</f>
        <v>6068.0521442904728</v>
      </c>
      <c r="E724" s="411">
        <f>'CALCULO DO FATO K'!D$10</f>
        <v>2.3175723620309046</v>
      </c>
      <c r="F724" s="714"/>
      <c r="G724" s="714"/>
      <c r="H724" s="411">
        <f>D724*E724</f>
        <v>14063.149940969966</v>
      </c>
      <c r="I724" s="416"/>
      <c r="J724" s="767"/>
    </row>
    <row r="725" spans="1:10" ht="15.75">
      <c r="A725" s="426" t="s">
        <v>703</v>
      </c>
      <c r="B725" s="768" t="s">
        <v>135</v>
      </c>
      <c r="C725" s="410"/>
      <c r="D725" s="787">
        <f>'ESTIMATIVA DE HORAS TÉCNICAS'!F733*'ESTIMATIVA DE HORAS TÉCNICAS'!F$943+'ESTIMATIVA DE HORAS TÉCNICAS'!G733*'ESTIMATIVA DE HORAS TÉCNICAS'!F$942+'ESTIMATIVA DE HORAS TÉCNICAS'!H733*'ESTIMATIVA DE HORAS TÉCNICAS'!F$941+'ESTIMATIVA DE HORAS TÉCNICAS'!I733*'ESTIMATIVA DE HORAS TÉCNICAS'!F$945+'ESTIMATIVA DE HORAS TÉCNICAS'!J733*'ESTIMATIVA DE HORAS TÉCNICAS'!F$946+'ESTIMATIVA DE HORAS TÉCNICAS'!K733*'ESTIMATIVA DE HORAS TÉCNICAS'!$F$944+'ESTIMATIVA DE HORAS TÉCNICAS'!L733*'ESTIMATIVA DE HORAS TÉCNICAS'!F$951+'ESTIMATIVA DE HORAS TÉCNICAS'!M733*'ESTIMATIVA DE HORAS TÉCNICAS'!F$950+'ESTIMATIVA DE HORAS TÉCNICAS'!N733*'ESTIMATIVA DE HORAS TÉCNICAS'!F$949+'ESTIMATIVA DE HORAS TÉCNICAS'!O733*'ESTIMATIVA DE HORAS TÉCNICAS'!F$948+'ESTIMATIVA DE HORAS TÉCNICAS'!P733*'ESTIMATIVA DE HORAS TÉCNICAS'!$F$947+'ESTIMATIVA DE HORAS TÉCNICAS'!Q733*'ESTIMATIVA DE HORAS TÉCNICAS'!F$953+'ESTIMATIVA DE HORAS TÉCNICAS'!R733*'ESTIMATIVA DE HORAS TÉCNICAS'!F$954</f>
        <v>6068.0521442904728</v>
      </c>
      <c r="E725" s="411">
        <f>'CALCULO DO FATO K'!D$10</f>
        <v>2.3175723620309046</v>
      </c>
      <c r="F725" s="714"/>
      <c r="G725" s="714"/>
      <c r="H725" s="411">
        <f t="shared" ref="H725:H730" si="47">D725*E725</f>
        <v>14063.149940969966</v>
      </c>
      <c r="I725" s="416"/>
      <c r="J725" s="767"/>
    </row>
    <row r="726" spans="1:10" ht="15.75">
      <c r="A726" s="426" t="s">
        <v>704</v>
      </c>
      <c r="B726" s="768" t="s">
        <v>112</v>
      </c>
      <c r="C726" s="410"/>
      <c r="D726" s="787">
        <f>'ESTIMATIVA DE HORAS TÉCNICAS'!F734*'ESTIMATIVA DE HORAS TÉCNICAS'!F$943+'ESTIMATIVA DE HORAS TÉCNICAS'!G734*'ESTIMATIVA DE HORAS TÉCNICAS'!F$942+'ESTIMATIVA DE HORAS TÉCNICAS'!H734*'ESTIMATIVA DE HORAS TÉCNICAS'!F$941+'ESTIMATIVA DE HORAS TÉCNICAS'!I734*'ESTIMATIVA DE HORAS TÉCNICAS'!F$945+'ESTIMATIVA DE HORAS TÉCNICAS'!J734*'ESTIMATIVA DE HORAS TÉCNICAS'!F$946+'ESTIMATIVA DE HORAS TÉCNICAS'!K734*'ESTIMATIVA DE HORAS TÉCNICAS'!$F$944+'ESTIMATIVA DE HORAS TÉCNICAS'!L734*'ESTIMATIVA DE HORAS TÉCNICAS'!F$951+'ESTIMATIVA DE HORAS TÉCNICAS'!M734*'ESTIMATIVA DE HORAS TÉCNICAS'!F$950+'ESTIMATIVA DE HORAS TÉCNICAS'!N734*'ESTIMATIVA DE HORAS TÉCNICAS'!F$949+'ESTIMATIVA DE HORAS TÉCNICAS'!O734*'ESTIMATIVA DE HORAS TÉCNICAS'!F$948+'ESTIMATIVA DE HORAS TÉCNICAS'!P734*'ESTIMATIVA DE HORAS TÉCNICAS'!$F$947+'ESTIMATIVA DE HORAS TÉCNICAS'!Q734*'ESTIMATIVA DE HORAS TÉCNICAS'!F$953+'ESTIMATIVA DE HORAS TÉCNICAS'!R734*'ESTIMATIVA DE HORAS TÉCNICAS'!F$954</f>
        <v>5319.9349647521103</v>
      </c>
      <c r="E726" s="411">
        <f>'CALCULO DO FATO K'!D$10</f>
        <v>2.3175723620309046</v>
      </c>
      <c r="F726" s="714"/>
      <c r="G726" s="714"/>
      <c r="H726" s="411">
        <f t="shared" si="47"/>
        <v>12329.334242111345</v>
      </c>
      <c r="I726" s="416"/>
      <c r="J726" s="767"/>
    </row>
    <row r="727" spans="1:10" ht="15.75">
      <c r="A727" s="426" t="s">
        <v>705</v>
      </c>
      <c r="B727" s="768" t="s">
        <v>105</v>
      </c>
      <c r="C727" s="410"/>
      <c r="D727" s="787">
        <f>'ESTIMATIVA DE HORAS TÉCNICAS'!F735*'ESTIMATIVA DE HORAS TÉCNICAS'!F$943+'ESTIMATIVA DE HORAS TÉCNICAS'!G735*'ESTIMATIVA DE HORAS TÉCNICAS'!F$942+'ESTIMATIVA DE HORAS TÉCNICAS'!H735*'ESTIMATIVA DE HORAS TÉCNICAS'!F$941+'ESTIMATIVA DE HORAS TÉCNICAS'!I735*'ESTIMATIVA DE HORAS TÉCNICAS'!F$945+'ESTIMATIVA DE HORAS TÉCNICAS'!J735*'ESTIMATIVA DE HORAS TÉCNICAS'!F$946+'ESTIMATIVA DE HORAS TÉCNICAS'!K735*'ESTIMATIVA DE HORAS TÉCNICAS'!$F$944+'ESTIMATIVA DE HORAS TÉCNICAS'!L735*'ESTIMATIVA DE HORAS TÉCNICAS'!F$951+'ESTIMATIVA DE HORAS TÉCNICAS'!M735*'ESTIMATIVA DE HORAS TÉCNICAS'!F$950+'ESTIMATIVA DE HORAS TÉCNICAS'!N735*'ESTIMATIVA DE HORAS TÉCNICAS'!F$949+'ESTIMATIVA DE HORAS TÉCNICAS'!O735*'ESTIMATIVA DE HORAS TÉCNICAS'!F$948+'ESTIMATIVA DE HORAS TÉCNICAS'!P735*'ESTIMATIVA DE HORAS TÉCNICAS'!$F$947+'ESTIMATIVA DE HORAS TÉCNICAS'!Q735*'ESTIMATIVA DE HORAS TÉCNICAS'!F$953+'ESTIMATIVA DE HORAS TÉCNICAS'!R735*'ESTIMATIVA DE HORAS TÉCNICAS'!F$954</f>
        <v>5767.7432327726601</v>
      </c>
      <c r="E727" s="411">
        <f>'CALCULO DO FATO K'!D$10</f>
        <v>2.3175723620309046</v>
      </c>
      <c r="F727" s="714"/>
      <c r="G727" s="714"/>
      <c r="H727" s="411">
        <f t="shared" si="47"/>
        <v>13367.162307564698</v>
      </c>
      <c r="I727" s="416"/>
      <c r="J727" s="767"/>
    </row>
    <row r="728" spans="1:10" ht="15.75">
      <c r="A728" s="426" t="s">
        <v>706</v>
      </c>
      <c r="B728" s="768" t="s">
        <v>595</v>
      </c>
      <c r="C728" s="410"/>
      <c r="D728" s="787">
        <f>'ESTIMATIVA DE HORAS TÉCNICAS'!F736*'ESTIMATIVA DE HORAS TÉCNICAS'!F$943+'ESTIMATIVA DE HORAS TÉCNICAS'!G736*'ESTIMATIVA DE HORAS TÉCNICAS'!F$942+'ESTIMATIVA DE HORAS TÉCNICAS'!H736*'ESTIMATIVA DE HORAS TÉCNICAS'!F$941+'ESTIMATIVA DE HORAS TÉCNICAS'!I736*'ESTIMATIVA DE HORAS TÉCNICAS'!F$945+'ESTIMATIVA DE HORAS TÉCNICAS'!J736*'ESTIMATIVA DE HORAS TÉCNICAS'!F$946+'ESTIMATIVA DE HORAS TÉCNICAS'!K736*'ESTIMATIVA DE HORAS TÉCNICAS'!$F$944+'ESTIMATIVA DE HORAS TÉCNICAS'!L736*'ESTIMATIVA DE HORAS TÉCNICAS'!F$951+'ESTIMATIVA DE HORAS TÉCNICAS'!M736*'ESTIMATIVA DE HORAS TÉCNICAS'!F$950+'ESTIMATIVA DE HORAS TÉCNICAS'!N736*'ESTIMATIVA DE HORAS TÉCNICAS'!F$949+'ESTIMATIVA DE HORAS TÉCNICAS'!O736*'ESTIMATIVA DE HORAS TÉCNICAS'!F$948+'ESTIMATIVA DE HORAS TÉCNICAS'!P736*'ESTIMATIVA DE HORAS TÉCNICAS'!$F$947+'ESTIMATIVA DE HORAS TÉCNICAS'!Q736*'ESTIMATIVA DE HORAS TÉCNICAS'!F$953+'ESTIMATIVA DE HORAS TÉCNICAS'!R736*'ESTIMATIVA DE HORAS TÉCNICAS'!F$954</f>
        <v>5767.7432327726601</v>
      </c>
      <c r="E728" s="411">
        <f>'CALCULO DO FATO K'!D$10</f>
        <v>2.3175723620309046</v>
      </c>
      <c r="F728" s="714"/>
      <c r="G728" s="714"/>
      <c r="H728" s="411">
        <f t="shared" si="47"/>
        <v>13367.162307564698</v>
      </c>
      <c r="I728" s="416"/>
      <c r="J728" s="767"/>
    </row>
    <row r="729" spans="1:10" ht="15.75">
      <c r="A729" s="426" t="s">
        <v>707</v>
      </c>
      <c r="B729" s="768" t="s">
        <v>597</v>
      </c>
      <c r="C729" s="410"/>
      <c r="D729" s="787">
        <f>'ESTIMATIVA DE HORAS TÉCNICAS'!F737*'ESTIMATIVA DE HORAS TÉCNICAS'!F$943+'ESTIMATIVA DE HORAS TÉCNICAS'!G737*'ESTIMATIVA DE HORAS TÉCNICAS'!F$942+'ESTIMATIVA DE HORAS TÉCNICAS'!H737*'ESTIMATIVA DE HORAS TÉCNICAS'!F$941+'ESTIMATIVA DE HORAS TÉCNICAS'!I737*'ESTIMATIVA DE HORAS TÉCNICAS'!F$945+'ESTIMATIVA DE HORAS TÉCNICAS'!J737*'ESTIMATIVA DE HORAS TÉCNICAS'!F$946+'ESTIMATIVA DE HORAS TÉCNICAS'!K737*'ESTIMATIVA DE HORAS TÉCNICAS'!$F$944+'ESTIMATIVA DE HORAS TÉCNICAS'!L737*'ESTIMATIVA DE HORAS TÉCNICAS'!F$951+'ESTIMATIVA DE HORAS TÉCNICAS'!M737*'ESTIMATIVA DE HORAS TÉCNICAS'!F$950+'ESTIMATIVA DE HORAS TÉCNICAS'!N737*'ESTIMATIVA DE HORAS TÉCNICAS'!F$949+'ESTIMATIVA DE HORAS TÉCNICAS'!O737*'ESTIMATIVA DE HORAS TÉCNICAS'!F$948+'ESTIMATIVA DE HORAS TÉCNICAS'!P737*'ESTIMATIVA DE HORAS TÉCNICAS'!$F$947+'ESTIMATIVA DE HORAS TÉCNICAS'!Q737*'ESTIMATIVA DE HORAS TÉCNICAS'!F$953+'ESTIMATIVA DE HORAS TÉCNICAS'!R737*'ESTIMATIVA DE HORAS TÉCNICAS'!F$954</f>
        <v>161.03001586417744</v>
      </c>
      <c r="E729" s="411">
        <f>'CALCULO DO FATO K'!D$10</f>
        <v>2.3175723620309046</v>
      </c>
      <c r="F729" s="714"/>
      <c r="G729" s="714"/>
      <c r="H729" s="411">
        <f t="shared" si="47"/>
        <v>373.19871422421573</v>
      </c>
      <c r="I729" s="416"/>
      <c r="J729" s="767"/>
    </row>
    <row r="730" spans="1:10" ht="15.75">
      <c r="A730" s="426" t="s">
        <v>708</v>
      </c>
      <c r="B730" s="768" t="s">
        <v>150</v>
      </c>
      <c r="C730" s="410"/>
      <c r="D730" s="787">
        <f>'ESTIMATIVA DE HORAS TÉCNICAS'!F738*'ESTIMATIVA DE HORAS TÉCNICAS'!F$943+'ESTIMATIVA DE HORAS TÉCNICAS'!G738*'ESTIMATIVA DE HORAS TÉCNICAS'!F$942+'ESTIMATIVA DE HORAS TÉCNICAS'!H738*'ESTIMATIVA DE HORAS TÉCNICAS'!F$941+'ESTIMATIVA DE HORAS TÉCNICAS'!I738*'ESTIMATIVA DE HORAS TÉCNICAS'!F$945+'ESTIMATIVA DE HORAS TÉCNICAS'!J738*'ESTIMATIVA DE HORAS TÉCNICAS'!F$946+'ESTIMATIVA DE HORAS TÉCNICAS'!K738*'ESTIMATIVA DE HORAS TÉCNICAS'!$F$944+'ESTIMATIVA DE HORAS TÉCNICAS'!L738*'ESTIMATIVA DE HORAS TÉCNICAS'!F$951+'ESTIMATIVA DE HORAS TÉCNICAS'!M738*'ESTIMATIVA DE HORAS TÉCNICAS'!F$950+'ESTIMATIVA DE HORAS TÉCNICAS'!N738*'ESTIMATIVA DE HORAS TÉCNICAS'!F$949+'ESTIMATIVA DE HORAS TÉCNICAS'!O738*'ESTIMATIVA DE HORAS TÉCNICAS'!F$948+'ESTIMATIVA DE HORAS TÉCNICAS'!P738*'ESTIMATIVA DE HORAS TÉCNICAS'!$F$947+'ESTIMATIVA DE HORAS TÉCNICAS'!Q738*'ESTIMATIVA DE HORAS TÉCNICAS'!F$953+'ESTIMATIVA DE HORAS TÉCNICAS'!R738*'ESTIMATIVA DE HORAS TÉCNICAS'!F$954</f>
        <v>3265.716310948384</v>
      </c>
      <c r="E730" s="411">
        <f>'CALCULO DO FATO K'!D$10</f>
        <v>2.3175723620309046</v>
      </c>
      <c r="F730" s="714"/>
      <c r="G730" s="714"/>
      <c r="H730" s="411">
        <f t="shared" si="47"/>
        <v>7568.5338644874982</v>
      </c>
      <c r="I730" s="416">
        <f>SUM(H724:H730)</f>
        <v>75131.691317892386</v>
      </c>
      <c r="J730" s="767"/>
    </row>
    <row r="731" spans="1:10" s="532" customFormat="1" ht="15.75">
      <c r="A731" s="426"/>
      <c r="B731" s="768"/>
      <c r="C731" s="410"/>
      <c r="D731" s="787"/>
      <c r="E731" s="411"/>
      <c r="F731" s="714"/>
      <c r="G731" s="714"/>
      <c r="H731" s="411"/>
      <c r="I731" s="416"/>
      <c r="J731" s="767"/>
    </row>
    <row r="732" spans="1:10" s="318" customFormat="1" ht="15.75">
      <c r="A732" s="426"/>
      <c r="B732" s="768"/>
      <c r="C732" s="410"/>
      <c r="D732" s="787"/>
      <c r="E732" s="411"/>
      <c r="F732" s="714"/>
      <c r="G732" s="714"/>
      <c r="H732" s="411"/>
      <c r="I732" s="416"/>
      <c r="J732" s="767"/>
    </row>
    <row r="733" spans="1:10" ht="15.75">
      <c r="A733" s="391" t="s">
        <v>709</v>
      </c>
      <c r="B733" s="390" t="s">
        <v>198</v>
      </c>
      <c r="C733" s="478"/>
      <c r="D733" s="796"/>
      <c r="E733" s="475"/>
      <c r="F733" s="475"/>
      <c r="G733" s="475"/>
      <c r="H733" s="475"/>
      <c r="I733" s="476"/>
      <c r="J733" s="767"/>
    </row>
    <row r="734" spans="1:10" ht="15.75">
      <c r="A734" s="426" t="s">
        <v>710</v>
      </c>
      <c r="B734" s="428" t="s">
        <v>326</v>
      </c>
      <c r="C734" s="410"/>
      <c r="D734" s="787">
        <f>'ESTIMATIVA DE HORAS TÉCNICAS'!F742*'ESTIMATIVA DE HORAS TÉCNICAS'!F$943+'ESTIMATIVA DE HORAS TÉCNICAS'!G742*'ESTIMATIVA DE HORAS TÉCNICAS'!F$942+'ESTIMATIVA DE HORAS TÉCNICAS'!H742*'ESTIMATIVA DE HORAS TÉCNICAS'!F$941+'ESTIMATIVA DE HORAS TÉCNICAS'!I742*'ESTIMATIVA DE HORAS TÉCNICAS'!F$945+'ESTIMATIVA DE HORAS TÉCNICAS'!J742*'ESTIMATIVA DE HORAS TÉCNICAS'!F$946+'ESTIMATIVA DE HORAS TÉCNICAS'!K742*'ESTIMATIVA DE HORAS TÉCNICAS'!$F$944+'ESTIMATIVA DE HORAS TÉCNICAS'!L742*'ESTIMATIVA DE HORAS TÉCNICAS'!F$951+'ESTIMATIVA DE HORAS TÉCNICAS'!M742*'ESTIMATIVA DE HORAS TÉCNICAS'!F$950+'ESTIMATIVA DE HORAS TÉCNICAS'!N742*'ESTIMATIVA DE HORAS TÉCNICAS'!F$949+'ESTIMATIVA DE HORAS TÉCNICAS'!O742*'ESTIMATIVA DE HORAS TÉCNICAS'!F$948+'ESTIMATIVA DE HORAS TÉCNICAS'!P742*'ESTIMATIVA DE HORAS TÉCNICAS'!$F$947+'ESTIMATIVA DE HORAS TÉCNICAS'!Q742*'ESTIMATIVA DE HORAS TÉCNICAS'!F$953+'ESTIMATIVA DE HORAS TÉCNICAS'!R742*'ESTIMATIVA DE HORAS TÉCNICAS'!F$954</f>
        <v>3503.8605173718001</v>
      </c>
      <c r="E734" s="411">
        <f>'CALCULO DO FATO K'!D$10</f>
        <v>2.3175723620309046</v>
      </c>
      <c r="F734" s="714"/>
      <c r="G734" s="714"/>
      <c r="H734" s="411">
        <f>D734*E734</f>
        <v>8120.4502954721902</v>
      </c>
      <c r="I734" s="416"/>
      <c r="J734" s="767"/>
    </row>
    <row r="735" spans="1:10" ht="15.75">
      <c r="A735" s="426" t="s">
        <v>711</v>
      </c>
      <c r="B735" s="768" t="s">
        <v>135</v>
      </c>
      <c r="C735" s="410"/>
      <c r="D735" s="787">
        <f>'ESTIMATIVA DE HORAS TÉCNICAS'!F743*'ESTIMATIVA DE HORAS TÉCNICAS'!F$943+'ESTIMATIVA DE HORAS TÉCNICAS'!G743*'ESTIMATIVA DE HORAS TÉCNICAS'!F$942+'ESTIMATIVA DE HORAS TÉCNICAS'!H743*'ESTIMATIVA DE HORAS TÉCNICAS'!F$941+'ESTIMATIVA DE HORAS TÉCNICAS'!I743*'ESTIMATIVA DE HORAS TÉCNICAS'!F$945+'ESTIMATIVA DE HORAS TÉCNICAS'!J743*'ESTIMATIVA DE HORAS TÉCNICAS'!F$946+'ESTIMATIVA DE HORAS TÉCNICAS'!K743*'ESTIMATIVA DE HORAS TÉCNICAS'!$F$944+'ESTIMATIVA DE HORAS TÉCNICAS'!L743*'ESTIMATIVA DE HORAS TÉCNICAS'!F$951+'ESTIMATIVA DE HORAS TÉCNICAS'!M743*'ESTIMATIVA DE HORAS TÉCNICAS'!F$950+'ESTIMATIVA DE HORAS TÉCNICAS'!N743*'ESTIMATIVA DE HORAS TÉCNICAS'!F$949+'ESTIMATIVA DE HORAS TÉCNICAS'!O743*'ESTIMATIVA DE HORAS TÉCNICAS'!F$948+'ESTIMATIVA DE HORAS TÉCNICAS'!P743*'ESTIMATIVA DE HORAS TÉCNICAS'!$F$947+'ESTIMATIVA DE HORAS TÉCNICAS'!Q743*'ESTIMATIVA DE HORAS TÉCNICAS'!F$953+'ESTIMATIVA DE HORAS TÉCNICAS'!R743*'ESTIMATIVA DE HORAS TÉCNICAS'!F$954</f>
        <v>3503.8605173718001</v>
      </c>
      <c r="E735" s="411">
        <f>'CALCULO DO FATO K'!D$10</f>
        <v>2.3175723620309046</v>
      </c>
      <c r="F735" s="714"/>
      <c r="G735" s="714"/>
      <c r="H735" s="411">
        <f t="shared" ref="H735:H740" si="48">D735*E735</f>
        <v>8120.4502954721902</v>
      </c>
      <c r="I735" s="416"/>
      <c r="J735" s="767"/>
    </row>
    <row r="736" spans="1:10" ht="15.75">
      <c r="A736" s="426" t="s">
        <v>712</v>
      </c>
      <c r="B736" s="768" t="s">
        <v>112</v>
      </c>
      <c r="C736" s="410"/>
      <c r="D736" s="787">
        <f>'ESTIMATIVA DE HORAS TÉCNICAS'!F744*'ESTIMATIVA DE HORAS TÉCNICAS'!F$943+'ESTIMATIVA DE HORAS TÉCNICAS'!G744*'ESTIMATIVA DE HORAS TÉCNICAS'!F$942+'ESTIMATIVA DE HORAS TÉCNICAS'!H744*'ESTIMATIVA DE HORAS TÉCNICAS'!F$941+'ESTIMATIVA DE HORAS TÉCNICAS'!I744*'ESTIMATIVA DE HORAS TÉCNICAS'!F$945+'ESTIMATIVA DE HORAS TÉCNICAS'!J744*'ESTIMATIVA DE HORAS TÉCNICAS'!F$946+'ESTIMATIVA DE HORAS TÉCNICAS'!K744*'ESTIMATIVA DE HORAS TÉCNICAS'!$F$944+'ESTIMATIVA DE HORAS TÉCNICAS'!L744*'ESTIMATIVA DE HORAS TÉCNICAS'!F$951+'ESTIMATIVA DE HORAS TÉCNICAS'!M744*'ESTIMATIVA DE HORAS TÉCNICAS'!F$950+'ESTIMATIVA DE HORAS TÉCNICAS'!N744*'ESTIMATIVA DE HORAS TÉCNICAS'!F$949+'ESTIMATIVA DE HORAS TÉCNICAS'!O744*'ESTIMATIVA DE HORAS TÉCNICAS'!F$948+'ESTIMATIVA DE HORAS TÉCNICAS'!P744*'ESTIMATIVA DE HORAS TÉCNICAS'!$F$947+'ESTIMATIVA DE HORAS TÉCNICAS'!Q744*'ESTIMATIVA DE HORAS TÉCNICAS'!F$953+'ESTIMATIVA DE HORAS TÉCNICAS'!R744*'ESTIMATIVA DE HORAS TÉCNICAS'!F$954</f>
        <v>2588.4854412027362</v>
      </c>
      <c r="E736" s="411">
        <f>'CALCULO DO FATO K'!D$10</f>
        <v>2.3175723620309046</v>
      </c>
      <c r="F736" s="714"/>
      <c r="G736" s="714"/>
      <c r="H736" s="411">
        <f t="shared" si="48"/>
        <v>5999.0023180508333</v>
      </c>
      <c r="I736" s="416"/>
      <c r="J736" s="767"/>
    </row>
    <row r="737" spans="1:10" ht="15.75">
      <c r="A737" s="426" t="s">
        <v>713</v>
      </c>
      <c r="B737" s="768" t="s">
        <v>105</v>
      </c>
      <c r="C737" s="410"/>
      <c r="D737" s="787">
        <f>'ESTIMATIVA DE HORAS TÉCNICAS'!F745*'ESTIMATIVA DE HORAS TÉCNICAS'!F$943+'ESTIMATIVA DE HORAS TÉCNICAS'!G745*'ESTIMATIVA DE HORAS TÉCNICAS'!F$942+'ESTIMATIVA DE HORAS TÉCNICAS'!H745*'ESTIMATIVA DE HORAS TÉCNICAS'!F$941+'ESTIMATIVA DE HORAS TÉCNICAS'!I745*'ESTIMATIVA DE HORAS TÉCNICAS'!F$945+'ESTIMATIVA DE HORAS TÉCNICAS'!J745*'ESTIMATIVA DE HORAS TÉCNICAS'!F$946+'ESTIMATIVA DE HORAS TÉCNICAS'!K745*'ESTIMATIVA DE HORAS TÉCNICAS'!$F$944+'ESTIMATIVA DE HORAS TÉCNICAS'!L745*'ESTIMATIVA DE HORAS TÉCNICAS'!F$951+'ESTIMATIVA DE HORAS TÉCNICAS'!M745*'ESTIMATIVA DE HORAS TÉCNICAS'!F$950+'ESTIMATIVA DE HORAS TÉCNICAS'!N745*'ESTIMATIVA DE HORAS TÉCNICAS'!F$949+'ESTIMATIVA DE HORAS TÉCNICAS'!O745*'ESTIMATIVA DE HORAS TÉCNICAS'!F$948+'ESTIMATIVA DE HORAS TÉCNICAS'!P745*'ESTIMATIVA DE HORAS TÉCNICAS'!$F$947+'ESTIMATIVA DE HORAS TÉCNICAS'!Q745*'ESTIMATIVA DE HORAS TÉCNICAS'!F$953+'ESTIMATIVA DE HORAS TÉCNICAS'!R745*'ESTIMATIVA DE HORAS TÉCNICAS'!F$954</f>
        <v>3841.3036794910868</v>
      </c>
      <c r="E737" s="411">
        <f>'CALCULO DO FATO K'!D$10</f>
        <v>2.3175723620309046</v>
      </c>
      <c r="F737" s="714"/>
      <c r="G737" s="714"/>
      <c r="H737" s="411">
        <f t="shared" si="48"/>
        <v>8902.4992417561625</v>
      </c>
      <c r="I737" s="416"/>
      <c r="J737" s="767"/>
    </row>
    <row r="738" spans="1:10" ht="15.75">
      <c r="A738" s="426" t="s">
        <v>714</v>
      </c>
      <c r="B738" s="768" t="s">
        <v>595</v>
      </c>
      <c r="C738" s="410"/>
      <c r="D738" s="787">
        <f>'ESTIMATIVA DE HORAS TÉCNICAS'!F746*'ESTIMATIVA DE HORAS TÉCNICAS'!F$943+'ESTIMATIVA DE HORAS TÉCNICAS'!G746*'ESTIMATIVA DE HORAS TÉCNICAS'!F$942+'ESTIMATIVA DE HORAS TÉCNICAS'!H746*'ESTIMATIVA DE HORAS TÉCNICAS'!F$941+'ESTIMATIVA DE HORAS TÉCNICAS'!I746*'ESTIMATIVA DE HORAS TÉCNICAS'!F$945+'ESTIMATIVA DE HORAS TÉCNICAS'!J746*'ESTIMATIVA DE HORAS TÉCNICAS'!F$946+'ESTIMATIVA DE HORAS TÉCNICAS'!K746*'ESTIMATIVA DE HORAS TÉCNICAS'!$F$944+'ESTIMATIVA DE HORAS TÉCNICAS'!L746*'ESTIMATIVA DE HORAS TÉCNICAS'!F$951+'ESTIMATIVA DE HORAS TÉCNICAS'!M746*'ESTIMATIVA DE HORAS TÉCNICAS'!F$950+'ESTIMATIVA DE HORAS TÉCNICAS'!N746*'ESTIMATIVA DE HORAS TÉCNICAS'!F$949+'ESTIMATIVA DE HORAS TÉCNICAS'!O746*'ESTIMATIVA DE HORAS TÉCNICAS'!F$948+'ESTIMATIVA DE HORAS TÉCNICAS'!P746*'ESTIMATIVA DE HORAS TÉCNICAS'!$F$947+'ESTIMATIVA DE HORAS TÉCNICAS'!Q746*'ESTIMATIVA DE HORAS TÉCNICAS'!F$953+'ESTIMATIVA DE HORAS TÉCNICAS'!R746*'ESTIMATIVA DE HORAS TÉCNICAS'!F$954</f>
        <v>3841.3036794910868</v>
      </c>
      <c r="E738" s="411">
        <f>'CALCULO DO FATO K'!D$10</f>
        <v>2.3175723620309046</v>
      </c>
      <c r="F738" s="714"/>
      <c r="G738" s="714"/>
      <c r="H738" s="411">
        <f t="shared" si="48"/>
        <v>8902.4992417561625</v>
      </c>
      <c r="I738" s="416"/>
      <c r="J738" s="767"/>
    </row>
    <row r="739" spans="1:10" ht="15.75">
      <c r="A739" s="426" t="s">
        <v>715</v>
      </c>
      <c r="B739" s="768" t="s">
        <v>597</v>
      </c>
      <c r="C739" s="410"/>
      <c r="D739" s="787">
        <f>'ESTIMATIVA DE HORAS TÉCNICAS'!F747*'ESTIMATIVA DE HORAS TÉCNICAS'!F$943+'ESTIMATIVA DE HORAS TÉCNICAS'!G747*'ESTIMATIVA DE HORAS TÉCNICAS'!F$942+'ESTIMATIVA DE HORAS TÉCNICAS'!H747*'ESTIMATIVA DE HORAS TÉCNICAS'!F$941+'ESTIMATIVA DE HORAS TÉCNICAS'!I747*'ESTIMATIVA DE HORAS TÉCNICAS'!F$945+'ESTIMATIVA DE HORAS TÉCNICAS'!J747*'ESTIMATIVA DE HORAS TÉCNICAS'!F$946+'ESTIMATIVA DE HORAS TÉCNICAS'!K747*'ESTIMATIVA DE HORAS TÉCNICAS'!$F$944+'ESTIMATIVA DE HORAS TÉCNICAS'!L747*'ESTIMATIVA DE HORAS TÉCNICAS'!F$951+'ESTIMATIVA DE HORAS TÉCNICAS'!M747*'ESTIMATIVA DE HORAS TÉCNICAS'!F$950+'ESTIMATIVA DE HORAS TÉCNICAS'!N747*'ESTIMATIVA DE HORAS TÉCNICAS'!F$949+'ESTIMATIVA DE HORAS TÉCNICAS'!O747*'ESTIMATIVA DE HORAS TÉCNICAS'!F$948+'ESTIMATIVA DE HORAS TÉCNICAS'!P747*'ESTIMATIVA DE HORAS TÉCNICAS'!$F$947+'ESTIMATIVA DE HORAS TÉCNICAS'!Q747*'ESTIMATIVA DE HORAS TÉCNICAS'!F$953+'ESTIMATIVA DE HORAS TÉCNICAS'!R747*'ESTIMATIVA DE HORAS TÉCNICAS'!F$954</f>
        <v>264.9061964846664</v>
      </c>
      <c r="E739" s="411">
        <f>'CALCULO DO FATO K'!D$10</f>
        <v>2.3175723620309046</v>
      </c>
      <c r="F739" s="714"/>
      <c r="G739" s="714"/>
      <c r="H739" s="411">
        <f t="shared" si="48"/>
        <v>613.93927950359125</v>
      </c>
      <c r="I739" s="416"/>
      <c r="J739" s="767"/>
    </row>
    <row r="740" spans="1:10" ht="15.75">
      <c r="A740" s="426" t="s">
        <v>716</v>
      </c>
      <c r="B740" s="768" t="s">
        <v>150</v>
      </c>
      <c r="C740" s="410"/>
      <c r="D740" s="787">
        <f>'ESTIMATIVA DE HORAS TÉCNICAS'!F748*'ESTIMATIVA DE HORAS TÉCNICAS'!F$943+'ESTIMATIVA DE HORAS TÉCNICAS'!G748*'ESTIMATIVA DE HORAS TÉCNICAS'!F$942+'ESTIMATIVA DE HORAS TÉCNICAS'!H748*'ESTIMATIVA DE HORAS TÉCNICAS'!F$941+'ESTIMATIVA DE HORAS TÉCNICAS'!I748*'ESTIMATIVA DE HORAS TÉCNICAS'!F$945+'ESTIMATIVA DE HORAS TÉCNICAS'!J748*'ESTIMATIVA DE HORAS TÉCNICAS'!F$946+'ESTIMATIVA DE HORAS TÉCNICAS'!K748*'ESTIMATIVA DE HORAS TÉCNICAS'!$F$944+'ESTIMATIVA DE HORAS TÉCNICAS'!L748*'ESTIMATIVA DE HORAS TÉCNICAS'!F$951+'ESTIMATIVA DE HORAS TÉCNICAS'!M748*'ESTIMATIVA DE HORAS TÉCNICAS'!F$950+'ESTIMATIVA DE HORAS TÉCNICAS'!N748*'ESTIMATIVA DE HORAS TÉCNICAS'!F$949+'ESTIMATIVA DE HORAS TÉCNICAS'!O748*'ESTIMATIVA DE HORAS TÉCNICAS'!F$948+'ESTIMATIVA DE HORAS TÉCNICAS'!P748*'ESTIMATIVA DE HORAS TÉCNICAS'!$F$947+'ESTIMATIVA DE HORAS TÉCNICAS'!Q748*'ESTIMATIVA DE HORAS TÉCNICAS'!F$953+'ESTIMATIVA DE HORAS TÉCNICAS'!R748*'ESTIMATIVA DE HORAS TÉCNICAS'!F$954</f>
        <v>2853.3916376874026</v>
      </c>
      <c r="E740" s="411">
        <f>'CALCULO DO FATO K'!D$10</f>
        <v>2.3175723620309046</v>
      </c>
      <c r="F740" s="714"/>
      <c r="G740" s="714"/>
      <c r="H740" s="411">
        <f t="shared" si="48"/>
        <v>6612.9415975544243</v>
      </c>
      <c r="I740" s="416">
        <f>SUM(H734:H740)</f>
        <v>47271.782269565556</v>
      </c>
      <c r="J740" s="767"/>
    </row>
    <row r="741" spans="1:10" s="532" customFormat="1" ht="15.75">
      <c r="A741" s="426"/>
      <c r="B741" s="768"/>
      <c r="C741" s="410"/>
      <c r="D741" s="787"/>
      <c r="E741" s="411"/>
      <c r="F741" s="714"/>
      <c r="G741" s="714"/>
      <c r="H741" s="411"/>
      <c r="I741" s="416"/>
      <c r="J741" s="767"/>
    </row>
    <row r="742" spans="1:10" s="318" customFormat="1" ht="15.75">
      <c r="A742" s="426"/>
      <c r="B742" s="768"/>
      <c r="C742" s="410"/>
      <c r="D742" s="787"/>
      <c r="E742" s="411"/>
      <c r="F742" s="714"/>
      <c r="G742" s="714"/>
      <c r="H742" s="411"/>
      <c r="I742" s="416"/>
      <c r="J742" s="767"/>
    </row>
    <row r="743" spans="1:10" ht="15.75">
      <c r="A743" s="391" t="s">
        <v>717</v>
      </c>
      <c r="B743" s="367" t="s">
        <v>203</v>
      </c>
      <c r="C743" s="474"/>
      <c r="D743" s="796"/>
      <c r="E743" s="475"/>
      <c r="F743" s="475"/>
      <c r="G743" s="475"/>
      <c r="H743" s="475"/>
      <c r="I743" s="476"/>
      <c r="J743" s="767"/>
    </row>
    <row r="744" spans="1:10" ht="15.75">
      <c r="A744" s="426" t="s">
        <v>718</v>
      </c>
      <c r="B744" s="428" t="s">
        <v>326</v>
      </c>
      <c r="C744" s="409"/>
      <c r="D744" s="787">
        <f>'ESTIMATIVA DE HORAS TÉCNICAS'!F752*'ESTIMATIVA DE HORAS TÉCNICAS'!F$943+'ESTIMATIVA DE HORAS TÉCNICAS'!G752*'ESTIMATIVA DE HORAS TÉCNICAS'!F$942+'ESTIMATIVA DE HORAS TÉCNICAS'!H752*'ESTIMATIVA DE HORAS TÉCNICAS'!F$941+'ESTIMATIVA DE HORAS TÉCNICAS'!I752*'ESTIMATIVA DE HORAS TÉCNICAS'!F$945+'ESTIMATIVA DE HORAS TÉCNICAS'!J752*'ESTIMATIVA DE HORAS TÉCNICAS'!F$946+'ESTIMATIVA DE HORAS TÉCNICAS'!K752*'ESTIMATIVA DE HORAS TÉCNICAS'!$F$944+'ESTIMATIVA DE HORAS TÉCNICAS'!L752*'ESTIMATIVA DE HORAS TÉCNICAS'!F$951+'ESTIMATIVA DE HORAS TÉCNICAS'!M752*'ESTIMATIVA DE HORAS TÉCNICAS'!F$950+'ESTIMATIVA DE HORAS TÉCNICAS'!N752*'ESTIMATIVA DE HORAS TÉCNICAS'!F$949+'ESTIMATIVA DE HORAS TÉCNICAS'!O752*'ESTIMATIVA DE HORAS TÉCNICAS'!F$948+'ESTIMATIVA DE HORAS TÉCNICAS'!P752*'ESTIMATIVA DE HORAS TÉCNICAS'!$F$947+'ESTIMATIVA DE HORAS TÉCNICAS'!Q752*'ESTIMATIVA DE HORAS TÉCNICAS'!F$953+'ESTIMATIVA DE HORAS TÉCNICAS'!R752*'ESTIMATIVA DE HORAS TÉCNICAS'!F$954</f>
        <v>2406.7948583255416</v>
      </c>
      <c r="E744" s="411">
        <f>'CALCULO DO FATO K'!D$10</f>
        <v>2.3175723620309046</v>
      </c>
      <c r="F744" s="714"/>
      <c r="G744" s="714"/>
      <c r="H744" s="411">
        <f>D744*E744</f>
        <v>5577.9212447333621</v>
      </c>
      <c r="I744" s="416"/>
      <c r="J744" s="767"/>
    </row>
    <row r="745" spans="1:10" ht="15.75">
      <c r="A745" s="426" t="s">
        <v>719</v>
      </c>
      <c r="B745" s="768" t="s">
        <v>135</v>
      </c>
      <c r="C745" s="409"/>
      <c r="D745" s="787">
        <f>'ESTIMATIVA DE HORAS TÉCNICAS'!F753*'ESTIMATIVA DE HORAS TÉCNICAS'!F$943+'ESTIMATIVA DE HORAS TÉCNICAS'!G753*'ESTIMATIVA DE HORAS TÉCNICAS'!F$942+'ESTIMATIVA DE HORAS TÉCNICAS'!H753*'ESTIMATIVA DE HORAS TÉCNICAS'!F$941+'ESTIMATIVA DE HORAS TÉCNICAS'!I753*'ESTIMATIVA DE HORAS TÉCNICAS'!F$945+'ESTIMATIVA DE HORAS TÉCNICAS'!J753*'ESTIMATIVA DE HORAS TÉCNICAS'!F$946+'ESTIMATIVA DE HORAS TÉCNICAS'!K753*'ESTIMATIVA DE HORAS TÉCNICAS'!$F$944+'ESTIMATIVA DE HORAS TÉCNICAS'!L753*'ESTIMATIVA DE HORAS TÉCNICAS'!F$951+'ESTIMATIVA DE HORAS TÉCNICAS'!M753*'ESTIMATIVA DE HORAS TÉCNICAS'!F$950+'ESTIMATIVA DE HORAS TÉCNICAS'!N753*'ESTIMATIVA DE HORAS TÉCNICAS'!F$949+'ESTIMATIVA DE HORAS TÉCNICAS'!O753*'ESTIMATIVA DE HORAS TÉCNICAS'!F$948+'ESTIMATIVA DE HORAS TÉCNICAS'!P753*'ESTIMATIVA DE HORAS TÉCNICAS'!$F$947+'ESTIMATIVA DE HORAS TÉCNICAS'!Q753*'ESTIMATIVA DE HORAS TÉCNICAS'!F$953+'ESTIMATIVA DE HORAS TÉCNICAS'!R753*'ESTIMATIVA DE HORAS TÉCNICAS'!F$954</f>
        <v>2406.7948583255416</v>
      </c>
      <c r="E745" s="411">
        <f>'CALCULO DO FATO K'!D$10</f>
        <v>2.3175723620309046</v>
      </c>
      <c r="F745" s="714"/>
      <c r="G745" s="714"/>
      <c r="H745" s="411">
        <f t="shared" ref="H745:H750" si="49">D745*E745</f>
        <v>5577.9212447333621</v>
      </c>
      <c r="I745" s="416"/>
      <c r="J745" s="767"/>
    </row>
    <row r="746" spans="1:10" ht="15.75">
      <c r="A746" s="426" t="s">
        <v>720</v>
      </c>
      <c r="B746" s="768" t="s">
        <v>112</v>
      </c>
      <c r="C746" s="409"/>
      <c r="D746" s="787">
        <f>'ESTIMATIVA DE HORAS TÉCNICAS'!F754*'ESTIMATIVA DE HORAS TÉCNICAS'!F$943+'ESTIMATIVA DE HORAS TÉCNICAS'!G754*'ESTIMATIVA DE HORAS TÉCNICAS'!F$942+'ESTIMATIVA DE HORAS TÉCNICAS'!H754*'ESTIMATIVA DE HORAS TÉCNICAS'!F$941+'ESTIMATIVA DE HORAS TÉCNICAS'!I754*'ESTIMATIVA DE HORAS TÉCNICAS'!F$945+'ESTIMATIVA DE HORAS TÉCNICAS'!J754*'ESTIMATIVA DE HORAS TÉCNICAS'!F$946+'ESTIMATIVA DE HORAS TÉCNICAS'!K754*'ESTIMATIVA DE HORAS TÉCNICAS'!$F$944+'ESTIMATIVA DE HORAS TÉCNICAS'!L754*'ESTIMATIVA DE HORAS TÉCNICAS'!F$951+'ESTIMATIVA DE HORAS TÉCNICAS'!M754*'ESTIMATIVA DE HORAS TÉCNICAS'!F$950+'ESTIMATIVA DE HORAS TÉCNICAS'!N754*'ESTIMATIVA DE HORAS TÉCNICAS'!F$949+'ESTIMATIVA DE HORAS TÉCNICAS'!O754*'ESTIMATIVA DE HORAS TÉCNICAS'!F$948+'ESTIMATIVA DE HORAS TÉCNICAS'!P754*'ESTIMATIVA DE HORAS TÉCNICAS'!$F$947+'ESTIMATIVA DE HORAS TÉCNICAS'!Q754*'ESTIMATIVA DE HORAS TÉCNICAS'!F$953+'ESTIMATIVA DE HORAS TÉCNICAS'!R754*'ESTIMATIVA DE HORAS TÉCNICAS'!F$954</f>
        <v>1532.3281730981375</v>
      </c>
      <c r="E746" s="411">
        <f>'CALCULO DO FATO K'!D$10</f>
        <v>2.3175723620309046</v>
      </c>
      <c r="F746" s="714"/>
      <c r="G746" s="714"/>
      <c r="H746" s="411">
        <f t="shared" si="49"/>
        <v>3551.2814235335513</v>
      </c>
      <c r="I746" s="416"/>
      <c r="J746" s="767"/>
    </row>
    <row r="747" spans="1:10" ht="15.75">
      <c r="A747" s="426" t="s">
        <v>721</v>
      </c>
      <c r="B747" s="768" t="s">
        <v>105</v>
      </c>
      <c r="C747" s="409"/>
      <c r="D747" s="787">
        <f>'ESTIMATIVA DE HORAS TÉCNICAS'!F755*'ESTIMATIVA DE HORAS TÉCNICAS'!F$943+'ESTIMATIVA DE HORAS TÉCNICAS'!G755*'ESTIMATIVA DE HORAS TÉCNICAS'!F$942+'ESTIMATIVA DE HORAS TÉCNICAS'!H755*'ESTIMATIVA DE HORAS TÉCNICAS'!F$941+'ESTIMATIVA DE HORAS TÉCNICAS'!I755*'ESTIMATIVA DE HORAS TÉCNICAS'!F$945+'ESTIMATIVA DE HORAS TÉCNICAS'!J755*'ESTIMATIVA DE HORAS TÉCNICAS'!F$946+'ESTIMATIVA DE HORAS TÉCNICAS'!K755*'ESTIMATIVA DE HORAS TÉCNICAS'!$F$944+'ESTIMATIVA DE HORAS TÉCNICAS'!L755*'ESTIMATIVA DE HORAS TÉCNICAS'!F$951+'ESTIMATIVA DE HORAS TÉCNICAS'!M755*'ESTIMATIVA DE HORAS TÉCNICAS'!F$950+'ESTIMATIVA DE HORAS TÉCNICAS'!N755*'ESTIMATIVA DE HORAS TÉCNICAS'!F$949+'ESTIMATIVA DE HORAS TÉCNICAS'!O755*'ESTIMATIVA DE HORAS TÉCNICAS'!F$948+'ESTIMATIVA DE HORAS TÉCNICAS'!P755*'ESTIMATIVA DE HORAS TÉCNICAS'!$F$947+'ESTIMATIVA DE HORAS TÉCNICAS'!Q755*'ESTIMATIVA DE HORAS TÉCNICAS'!F$953+'ESTIMATIVA DE HORAS TÉCNICAS'!R755*'ESTIMATIVA DE HORAS TÉCNICAS'!F$954</f>
        <v>2297.3982486368368</v>
      </c>
      <c r="E747" s="411">
        <f>'CALCULO DO FATO K'!D$10</f>
        <v>2.3175723620309046</v>
      </c>
      <c r="F747" s="714"/>
      <c r="G747" s="714"/>
      <c r="H747" s="411">
        <f t="shared" si="49"/>
        <v>5324.386685618937</v>
      </c>
      <c r="I747" s="416"/>
      <c r="J747" s="767"/>
    </row>
    <row r="748" spans="1:10" ht="15.75">
      <c r="A748" s="426" t="s">
        <v>722</v>
      </c>
      <c r="B748" s="768" t="s">
        <v>595</v>
      </c>
      <c r="C748" s="409"/>
      <c r="D748" s="787">
        <f>'ESTIMATIVA DE HORAS TÉCNICAS'!F756*'ESTIMATIVA DE HORAS TÉCNICAS'!F$943+'ESTIMATIVA DE HORAS TÉCNICAS'!G756*'ESTIMATIVA DE HORAS TÉCNICAS'!F$942+'ESTIMATIVA DE HORAS TÉCNICAS'!H756*'ESTIMATIVA DE HORAS TÉCNICAS'!F$941+'ESTIMATIVA DE HORAS TÉCNICAS'!I756*'ESTIMATIVA DE HORAS TÉCNICAS'!F$945+'ESTIMATIVA DE HORAS TÉCNICAS'!J756*'ESTIMATIVA DE HORAS TÉCNICAS'!F$946+'ESTIMATIVA DE HORAS TÉCNICAS'!K756*'ESTIMATIVA DE HORAS TÉCNICAS'!$F$944+'ESTIMATIVA DE HORAS TÉCNICAS'!L756*'ESTIMATIVA DE HORAS TÉCNICAS'!F$951+'ESTIMATIVA DE HORAS TÉCNICAS'!M756*'ESTIMATIVA DE HORAS TÉCNICAS'!F$950+'ESTIMATIVA DE HORAS TÉCNICAS'!N756*'ESTIMATIVA DE HORAS TÉCNICAS'!F$949+'ESTIMATIVA DE HORAS TÉCNICAS'!O756*'ESTIMATIVA DE HORAS TÉCNICAS'!F$948+'ESTIMATIVA DE HORAS TÉCNICAS'!P756*'ESTIMATIVA DE HORAS TÉCNICAS'!$F$947+'ESTIMATIVA DE HORAS TÉCNICAS'!Q756*'ESTIMATIVA DE HORAS TÉCNICAS'!F$953+'ESTIMATIVA DE HORAS TÉCNICAS'!R756*'ESTIMATIVA DE HORAS TÉCNICAS'!F$954</f>
        <v>2297.3982486368368</v>
      </c>
      <c r="E748" s="411">
        <f>'CALCULO DO FATO K'!D$10</f>
        <v>2.3175723620309046</v>
      </c>
      <c r="F748" s="714"/>
      <c r="G748" s="714"/>
      <c r="H748" s="411">
        <f t="shared" si="49"/>
        <v>5324.386685618937</v>
      </c>
      <c r="I748" s="416"/>
      <c r="J748" s="767"/>
    </row>
    <row r="749" spans="1:10" ht="15.75">
      <c r="A749" s="426" t="s">
        <v>723</v>
      </c>
      <c r="B749" s="768" t="s">
        <v>597</v>
      </c>
      <c r="C749" s="410"/>
      <c r="D749" s="787">
        <f>'ESTIMATIVA DE HORAS TÉCNICAS'!F757*'ESTIMATIVA DE HORAS TÉCNICAS'!F$943+'ESTIMATIVA DE HORAS TÉCNICAS'!G757*'ESTIMATIVA DE HORAS TÉCNICAS'!F$942+'ESTIMATIVA DE HORAS TÉCNICAS'!H757*'ESTIMATIVA DE HORAS TÉCNICAS'!F$941+'ESTIMATIVA DE HORAS TÉCNICAS'!I757*'ESTIMATIVA DE HORAS TÉCNICAS'!F$945+'ESTIMATIVA DE HORAS TÉCNICAS'!J757*'ESTIMATIVA DE HORAS TÉCNICAS'!F$946+'ESTIMATIVA DE HORAS TÉCNICAS'!K757*'ESTIMATIVA DE HORAS TÉCNICAS'!$F$944+'ESTIMATIVA DE HORAS TÉCNICAS'!L757*'ESTIMATIVA DE HORAS TÉCNICAS'!F$951+'ESTIMATIVA DE HORAS TÉCNICAS'!M757*'ESTIMATIVA DE HORAS TÉCNICAS'!F$950+'ESTIMATIVA DE HORAS TÉCNICAS'!N757*'ESTIMATIVA DE HORAS TÉCNICAS'!F$949+'ESTIMATIVA DE HORAS TÉCNICAS'!O757*'ESTIMATIVA DE HORAS TÉCNICAS'!F$948+'ESTIMATIVA DE HORAS TÉCNICAS'!P757*'ESTIMATIVA DE HORAS TÉCNICAS'!$F$947+'ESTIMATIVA DE HORAS TÉCNICAS'!Q757*'ESTIMATIVA DE HORAS TÉCNICAS'!F$953+'ESTIMATIVA DE HORAS TÉCNICAS'!R757*'ESTIMATIVA DE HORAS TÉCNICAS'!F$954</f>
        <v>441.51032747444401</v>
      </c>
      <c r="E749" s="411">
        <f>'CALCULO DO FATO K'!D$10</f>
        <v>2.3175723620309046</v>
      </c>
      <c r="F749" s="714"/>
      <c r="G749" s="714"/>
      <c r="H749" s="411">
        <f t="shared" si="49"/>
        <v>1023.2321325059854</v>
      </c>
      <c r="I749" s="416"/>
      <c r="J749" s="767"/>
    </row>
    <row r="750" spans="1:10" ht="15.75">
      <c r="A750" s="426" t="s">
        <v>724</v>
      </c>
      <c r="B750" s="768" t="s">
        <v>150</v>
      </c>
      <c r="C750" s="410"/>
      <c r="D750" s="787">
        <f>'ESTIMATIVA DE HORAS TÉCNICAS'!F758*'ESTIMATIVA DE HORAS TÉCNICAS'!F$943+'ESTIMATIVA DE HORAS TÉCNICAS'!G758*'ESTIMATIVA DE HORAS TÉCNICAS'!F$942+'ESTIMATIVA DE HORAS TÉCNICAS'!H758*'ESTIMATIVA DE HORAS TÉCNICAS'!F$941+'ESTIMATIVA DE HORAS TÉCNICAS'!I758*'ESTIMATIVA DE HORAS TÉCNICAS'!F$945+'ESTIMATIVA DE HORAS TÉCNICAS'!J758*'ESTIMATIVA DE HORAS TÉCNICAS'!F$946+'ESTIMATIVA DE HORAS TÉCNICAS'!K758*'ESTIMATIVA DE HORAS TÉCNICAS'!$F$944+'ESTIMATIVA DE HORAS TÉCNICAS'!L758*'ESTIMATIVA DE HORAS TÉCNICAS'!F$951+'ESTIMATIVA DE HORAS TÉCNICAS'!M758*'ESTIMATIVA DE HORAS TÉCNICAS'!F$950+'ESTIMATIVA DE HORAS TÉCNICAS'!N758*'ESTIMATIVA DE HORAS TÉCNICAS'!F$949+'ESTIMATIVA DE HORAS TÉCNICAS'!O758*'ESTIMATIVA DE HORAS TÉCNICAS'!F$948+'ESTIMATIVA DE HORAS TÉCNICAS'!P758*'ESTIMATIVA DE HORAS TÉCNICAS'!$F$947+'ESTIMATIVA DE HORAS TÉCNICAS'!Q758*'ESTIMATIVA DE HORAS TÉCNICAS'!F$953+'ESTIMATIVA DE HORAS TÉCNICAS'!R758*'ESTIMATIVA DE HORAS TÉCNICAS'!F$954</f>
        <v>1973.8385005725816</v>
      </c>
      <c r="E750" s="411">
        <f>'CALCULO DO FATO K'!D$10</f>
        <v>2.3175723620309046</v>
      </c>
      <c r="F750" s="714"/>
      <c r="G750" s="714"/>
      <c r="H750" s="411">
        <f t="shared" si="49"/>
        <v>4574.5135560395365</v>
      </c>
      <c r="I750" s="416">
        <f>SUM(H744:H750)</f>
        <v>30953.642972783673</v>
      </c>
      <c r="J750" s="767"/>
    </row>
    <row r="751" spans="1:10" s="532" customFormat="1" ht="15.75">
      <c r="A751" s="426"/>
      <c r="B751" s="768"/>
      <c r="C751" s="410"/>
      <c r="D751" s="787"/>
      <c r="E751" s="411"/>
      <c r="F751" s="714"/>
      <c r="G751" s="714"/>
      <c r="H751" s="411"/>
      <c r="I751" s="416"/>
      <c r="J751" s="767"/>
    </row>
    <row r="752" spans="1:10" s="318" customFormat="1" ht="15.75">
      <c r="A752" s="426"/>
      <c r="B752" s="768"/>
      <c r="C752" s="409"/>
      <c r="D752" s="787"/>
      <c r="E752" s="411"/>
      <c r="F752" s="714"/>
      <c r="G752" s="714"/>
      <c r="H752" s="411"/>
      <c r="I752" s="416"/>
      <c r="J752" s="767"/>
    </row>
    <row r="753" spans="1:10" ht="15.75">
      <c r="A753" s="391" t="s">
        <v>725</v>
      </c>
      <c r="B753" s="427" t="s">
        <v>726</v>
      </c>
      <c r="C753" s="474"/>
      <c r="D753" s="796"/>
      <c r="E753" s="475"/>
      <c r="F753" s="475"/>
      <c r="G753" s="475"/>
      <c r="H753" s="475"/>
      <c r="I753" s="476"/>
      <c r="J753" s="767"/>
    </row>
    <row r="754" spans="1:10" ht="15.75">
      <c r="A754" s="426" t="s">
        <v>727</v>
      </c>
      <c r="B754" s="428" t="s">
        <v>326</v>
      </c>
      <c r="C754" s="409"/>
      <c r="D754" s="787">
        <f>'ESTIMATIVA DE HORAS TÉCNICAS'!F762*'ESTIMATIVA DE HORAS TÉCNICAS'!F$943+'ESTIMATIVA DE HORAS TÉCNICAS'!G762*'ESTIMATIVA DE HORAS TÉCNICAS'!F$942+'ESTIMATIVA DE HORAS TÉCNICAS'!H762*'ESTIMATIVA DE HORAS TÉCNICAS'!F$941+'ESTIMATIVA DE HORAS TÉCNICAS'!I762*'ESTIMATIVA DE HORAS TÉCNICAS'!F$945+'ESTIMATIVA DE HORAS TÉCNICAS'!J762*'ESTIMATIVA DE HORAS TÉCNICAS'!F$946+'ESTIMATIVA DE HORAS TÉCNICAS'!K762*'ESTIMATIVA DE HORAS TÉCNICAS'!$F$944+'ESTIMATIVA DE HORAS TÉCNICAS'!L762*'ESTIMATIVA DE HORAS TÉCNICAS'!F$951+'ESTIMATIVA DE HORAS TÉCNICAS'!M762*'ESTIMATIVA DE HORAS TÉCNICAS'!F$950+'ESTIMATIVA DE HORAS TÉCNICAS'!N762*'ESTIMATIVA DE HORAS TÉCNICAS'!F$949+'ESTIMATIVA DE HORAS TÉCNICAS'!O762*'ESTIMATIVA DE HORAS TÉCNICAS'!F$948+'ESTIMATIVA DE HORAS TÉCNICAS'!P762*'ESTIMATIVA DE HORAS TÉCNICAS'!$F$947+'ESTIMATIVA DE HORAS TÉCNICAS'!Q762*'ESTIMATIVA DE HORAS TÉCNICAS'!F$953+'ESTIMATIVA DE HORAS TÉCNICAS'!R762*'ESTIMATIVA DE HORAS TÉCNICAS'!F$954</f>
        <v>3535.7074687706845</v>
      </c>
      <c r="E754" s="411">
        <f>'CALCULO DO FATO K'!D$10</f>
        <v>2.3175723620309046</v>
      </c>
      <c r="F754" s="714"/>
      <c r="G754" s="714"/>
      <c r="H754" s="411">
        <f>D754*E754</f>
        <v>8194.257909849186</v>
      </c>
      <c r="I754" s="416"/>
      <c r="J754" s="767"/>
    </row>
    <row r="755" spans="1:10" ht="15.75">
      <c r="A755" s="426" t="s">
        <v>728</v>
      </c>
      <c r="B755" s="768" t="s">
        <v>135</v>
      </c>
      <c r="C755" s="409"/>
      <c r="D755" s="787">
        <f>'ESTIMATIVA DE HORAS TÉCNICAS'!F763*'ESTIMATIVA DE HORAS TÉCNICAS'!F$943+'ESTIMATIVA DE HORAS TÉCNICAS'!G763*'ESTIMATIVA DE HORAS TÉCNICAS'!F$942+'ESTIMATIVA DE HORAS TÉCNICAS'!H763*'ESTIMATIVA DE HORAS TÉCNICAS'!F$941+'ESTIMATIVA DE HORAS TÉCNICAS'!I763*'ESTIMATIVA DE HORAS TÉCNICAS'!F$945+'ESTIMATIVA DE HORAS TÉCNICAS'!J763*'ESTIMATIVA DE HORAS TÉCNICAS'!F$946+'ESTIMATIVA DE HORAS TÉCNICAS'!K763*'ESTIMATIVA DE HORAS TÉCNICAS'!$F$944+'ESTIMATIVA DE HORAS TÉCNICAS'!L763*'ESTIMATIVA DE HORAS TÉCNICAS'!F$951+'ESTIMATIVA DE HORAS TÉCNICAS'!M763*'ESTIMATIVA DE HORAS TÉCNICAS'!F$950+'ESTIMATIVA DE HORAS TÉCNICAS'!N763*'ESTIMATIVA DE HORAS TÉCNICAS'!F$949+'ESTIMATIVA DE HORAS TÉCNICAS'!O763*'ESTIMATIVA DE HORAS TÉCNICAS'!F$948+'ESTIMATIVA DE HORAS TÉCNICAS'!P763*'ESTIMATIVA DE HORAS TÉCNICAS'!$F$947+'ESTIMATIVA DE HORAS TÉCNICAS'!Q763*'ESTIMATIVA DE HORAS TÉCNICAS'!F$953+'ESTIMATIVA DE HORAS TÉCNICAS'!R763*'ESTIMATIVA DE HORAS TÉCNICAS'!F$954</f>
        <v>3535.7074687706845</v>
      </c>
      <c r="E755" s="411">
        <f>'CALCULO DO FATO K'!D$10</f>
        <v>2.3175723620309046</v>
      </c>
      <c r="F755" s="714"/>
      <c r="G755" s="714"/>
      <c r="H755" s="411">
        <f t="shared" ref="H755:H761" si="50">D755*E755</f>
        <v>8194.257909849186</v>
      </c>
      <c r="I755" s="416"/>
      <c r="J755" s="767"/>
    </row>
    <row r="756" spans="1:10" ht="15.75">
      <c r="A756" s="426" t="s">
        <v>729</v>
      </c>
      <c r="B756" s="768" t="s">
        <v>112</v>
      </c>
      <c r="C756" s="409"/>
      <c r="D756" s="787">
        <f>'ESTIMATIVA DE HORAS TÉCNICAS'!F764*'ESTIMATIVA DE HORAS TÉCNICAS'!F$943+'ESTIMATIVA DE HORAS TÉCNICAS'!G764*'ESTIMATIVA DE HORAS TÉCNICAS'!F$942+'ESTIMATIVA DE HORAS TÉCNICAS'!H764*'ESTIMATIVA DE HORAS TÉCNICAS'!F$941+'ESTIMATIVA DE HORAS TÉCNICAS'!I764*'ESTIMATIVA DE HORAS TÉCNICAS'!F$945+'ESTIMATIVA DE HORAS TÉCNICAS'!J764*'ESTIMATIVA DE HORAS TÉCNICAS'!F$946+'ESTIMATIVA DE HORAS TÉCNICAS'!K764*'ESTIMATIVA DE HORAS TÉCNICAS'!$F$944+'ESTIMATIVA DE HORAS TÉCNICAS'!L764*'ESTIMATIVA DE HORAS TÉCNICAS'!F$951+'ESTIMATIVA DE HORAS TÉCNICAS'!M764*'ESTIMATIVA DE HORAS TÉCNICAS'!F$950+'ESTIMATIVA DE HORAS TÉCNICAS'!N764*'ESTIMATIVA DE HORAS TÉCNICAS'!F$949+'ESTIMATIVA DE HORAS TÉCNICAS'!O764*'ESTIMATIVA DE HORAS TÉCNICAS'!F$948+'ESTIMATIVA DE HORAS TÉCNICAS'!P764*'ESTIMATIVA DE HORAS TÉCNICAS'!$F$947+'ESTIMATIVA DE HORAS TÉCNICAS'!Q764*'ESTIMATIVA DE HORAS TÉCNICAS'!F$953+'ESTIMATIVA DE HORAS TÉCNICAS'!R764*'ESTIMATIVA DE HORAS TÉCNICAS'!F$954</f>
        <v>3172.0168412426592</v>
      </c>
      <c r="E756" s="411">
        <f>'CALCULO DO FATO K'!D$10</f>
        <v>2.3175723620309046</v>
      </c>
      <c r="F756" s="714"/>
      <c r="G756" s="714"/>
      <c r="H756" s="411">
        <f t="shared" si="50"/>
        <v>7351.3785631605588</v>
      </c>
      <c r="I756" s="416"/>
      <c r="J756" s="767"/>
    </row>
    <row r="757" spans="1:10" ht="15.75">
      <c r="A757" s="426" t="s">
        <v>730</v>
      </c>
      <c r="B757" s="768" t="s">
        <v>152</v>
      </c>
      <c r="C757" s="409"/>
      <c r="D757" s="787">
        <f>'ESTIMATIVA DE HORAS TÉCNICAS'!F765*'ESTIMATIVA DE HORAS TÉCNICAS'!F$943+'ESTIMATIVA DE HORAS TÉCNICAS'!G765*'ESTIMATIVA DE HORAS TÉCNICAS'!F$942+'ESTIMATIVA DE HORAS TÉCNICAS'!H765*'ESTIMATIVA DE HORAS TÉCNICAS'!F$941+'ESTIMATIVA DE HORAS TÉCNICAS'!I765*'ESTIMATIVA DE HORAS TÉCNICAS'!F$945+'ESTIMATIVA DE HORAS TÉCNICAS'!J765*'ESTIMATIVA DE HORAS TÉCNICAS'!F$946+'ESTIMATIVA DE HORAS TÉCNICAS'!K765*'ESTIMATIVA DE HORAS TÉCNICAS'!$F$944+'ESTIMATIVA DE HORAS TÉCNICAS'!L765*'ESTIMATIVA DE HORAS TÉCNICAS'!F$951+'ESTIMATIVA DE HORAS TÉCNICAS'!M765*'ESTIMATIVA DE HORAS TÉCNICAS'!F$950+'ESTIMATIVA DE HORAS TÉCNICAS'!N765*'ESTIMATIVA DE HORAS TÉCNICAS'!F$949+'ESTIMATIVA DE HORAS TÉCNICAS'!O765*'ESTIMATIVA DE HORAS TÉCNICAS'!F$948+'ESTIMATIVA DE HORAS TÉCNICAS'!P765*'ESTIMATIVA DE HORAS TÉCNICAS'!$F$947+'ESTIMATIVA DE HORAS TÉCNICAS'!Q765*'ESTIMATIVA DE HORAS TÉCNICAS'!F$953+'ESTIMATIVA DE HORAS TÉCNICAS'!R765*'ESTIMATIVA DE HORAS TÉCNICAS'!F$954</f>
        <v>3172.0168412426592</v>
      </c>
      <c r="E757" s="411">
        <f>'CALCULO DO FATO K'!D$10</f>
        <v>2.3175723620309046</v>
      </c>
      <c r="F757" s="714"/>
      <c r="G757" s="714"/>
      <c r="H757" s="411">
        <f t="shared" si="50"/>
        <v>7351.3785631605588</v>
      </c>
      <c r="I757" s="416"/>
      <c r="J757" s="767"/>
    </row>
    <row r="758" spans="1:10" ht="15.75">
      <c r="A758" s="426" t="s">
        <v>731</v>
      </c>
      <c r="B758" s="768" t="s">
        <v>105</v>
      </c>
      <c r="C758" s="409"/>
      <c r="D758" s="787">
        <f>'ESTIMATIVA DE HORAS TÉCNICAS'!F766*'ESTIMATIVA DE HORAS TÉCNICAS'!F$943+'ESTIMATIVA DE HORAS TÉCNICAS'!G766*'ESTIMATIVA DE HORAS TÉCNICAS'!F$942+'ESTIMATIVA DE HORAS TÉCNICAS'!H766*'ESTIMATIVA DE HORAS TÉCNICAS'!F$941+'ESTIMATIVA DE HORAS TÉCNICAS'!I766*'ESTIMATIVA DE HORAS TÉCNICAS'!F$945+'ESTIMATIVA DE HORAS TÉCNICAS'!J766*'ESTIMATIVA DE HORAS TÉCNICAS'!F$946+'ESTIMATIVA DE HORAS TÉCNICAS'!K766*'ESTIMATIVA DE HORAS TÉCNICAS'!$F$944+'ESTIMATIVA DE HORAS TÉCNICAS'!L766*'ESTIMATIVA DE HORAS TÉCNICAS'!F$951+'ESTIMATIVA DE HORAS TÉCNICAS'!M766*'ESTIMATIVA DE HORAS TÉCNICAS'!F$950+'ESTIMATIVA DE HORAS TÉCNICAS'!N766*'ESTIMATIVA DE HORAS TÉCNICAS'!F$949+'ESTIMATIVA DE HORAS TÉCNICAS'!O766*'ESTIMATIVA DE HORAS TÉCNICAS'!F$948+'ESTIMATIVA DE HORAS TÉCNICAS'!P766*'ESTIMATIVA DE HORAS TÉCNICAS'!$F$947+'ESTIMATIVA DE HORAS TÉCNICAS'!Q766*'ESTIMATIVA DE HORAS TÉCNICAS'!F$953+'ESTIMATIVA DE HORAS TÉCNICAS'!R766*'ESTIMATIVA DE HORAS TÉCNICAS'!F$954</f>
        <v>3495.5765893069147</v>
      </c>
      <c r="E758" s="411">
        <f>'CALCULO DO FATO K'!D$10</f>
        <v>2.3175723620309046</v>
      </c>
      <c r="F758" s="714"/>
      <c r="G758" s="714"/>
      <c r="H758" s="411">
        <f t="shared" si="50"/>
        <v>8101.2516927399593</v>
      </c>
      <c r="I758" s="416"/>
      <c r="J758" s="767"/>
    </row>
    <row r="759" spans="1:10" ht="15.75">
      <c r="A759" s="426" t="s">
        <v>732</v>
      </c>
      <c r="B759" s="768" t="s">
        <v>595</v>
      </c>
      <c r="C759" s="410"/>
      <c r="D759" s="787">
        <f>'ESTIMATIVA DE HORAS TÉCNICAS'!F767*'ESTIMATIVA DE HORAS TÉCNICAS'!F$943+'ESTIMATIVA DE HORAS TÉCNICAS'!G767*'ESTIMATIVA DE HORAS TÉCNICAS'!F$942+'ESTIMATIVA DE HORAS TÉCNICAS'!H767*'ESTIMATIVA DE HORAS TÉCNICAS'!F$941+'ESTIMATIVA DE HORAS TÉCNICAS'!I767*'ESTIMATIVA DE HORAS TÉCNICAS'!F$945+'ESTIMATIVA DE HORAS TÉCNICAS'!J767*'ESTIMATIVA DE HORAS TÉCNICAS'!F$946+'ESTIMATIVA DE HORAS TÉCNICAS'!K767*'ESTIMATIVA DE HORAS TÉCNICAS'!$F$944+'ESTIMATIVA DE HORAS TÉCNICAS'!L767*'ESTIMATIVA DE HORAS TÉCNICAS'!F$951+'ESTIMATIVA DE HORAS TÉCNICAS'!M767*'ESTIMATIVA DE HORAS TÉCNICAS'!F$950+'ESTIMATIVA DE HORAS TÉCNICAS'!N767*'ESTIMATIVA DE HORAS TÉCNICAS'!F$949+'ESTIMATIVA DE HORAS TÉCNICAS'!O767*'ESTIMATIVA DE HORAS TÉCNICAS'!F$948+'ESTIMATIVA DE HORAS TÉCNICAS'!P767*'ESTIMATIVA DE HORAS TÉCNICAS'!$F$947+'ESTIMATIVA DE HORAS TÉCNICAS'!Q767*'ESTIMATIVA DE HORAS TÉCNICAS'!F$953+'ESTIMATIVA DE HORAS TÉCNICAS'!R767*'ESTIMATIVA DE HORAS TÉCNICAS'!F$954</f>
        <v>3064.1623491064588</v>
      </c>
      <c r="E759" s="411">
        <f>'CALCULO DO FATO K'!D$10</f>
        <v>2.3175723620309046</v>
      </c>
      <c r="F759" s="714"/>
      <c r="G759" s="714"/>
      <c r="H759" s="411">
        <f t="shared" si="50"/>
        <v>7101.4179730648211</v>
      </c>
      <c r="I759" s="416"/>
      <c r="J759" s="767"/>
    </row>
    <row r="760" spans="1:10" ht="15.75">
      <c r="A760" s="426" t="s">
        <v>733</v>
      </c>
      <c r="B760" s="768" t="s">
        <v>597</v>
      </c>
      <c r="C760" s="410"/>
      <c r="D760" s="787">
        <f>'ESTIMATIVA DE HORAS TÉCNICAS'!F768*'ESTIMATIVA DE HORAS TÉCNICAS'!F$943+'ESTIMATIVA DE HORAS TÉCNICAS'!G768*'ESTIMATIVA DE HORAS TÉCNICAS'!F$942+'ESTIMATIVA DE HORAS TÉCNICAS'!H768*'ESTIMATIVA DE HORAS TÉCNICAS'!F$941+'ESTIMATIVA DE HORAS TÉCNICAS'!I768*'ESTIMATIVA DE HORAS TÉCNICAS'!F$945+'ESTIMATIVA DE HORAS TÉCNICAS'!J768*'ESTIMATIVA DE HORAS TÉCNICAS'!F$946+'ESTIMATIVA DE HORAS TÉCNICAS'!K768*'ESTIMATIVA DE HORAS TÉCNICAS'!$F$944+'ESTIMATIVA DE HORAS TÉCNICAS'!L768*'ESTIMATIVA DE HORAS TÉCNICAS'!F$951+'ESTIMATIVA DE HORAS TÉCNICAS'!M768*'ESTIMATIVA DE HORAS TÉCNICAS'!F$950+'ESTIMATIVA DE HORAS TÉCNICAS'!N768*'ESTIMATIVA DE HORAS TÉCNICAS'!F$949+'ESTIMATIVA DE HORAS TÉCNICAS'!O768*'ESTIMATIVA DE HORAS TÉCNICAS'!F$948+'ESTIMATIVA DE HORAS TÉCNICAS'!P768*'ESTIMATIVA DE HORAS TÉCNICAS'!$F$947+'ESTIMATIVA DE HORAS TÉCNICAS'!Q768*'ESTIMATIVA DE HORAS TÉCNICAS'!F$953+'ESTIMATIVA DE HORAS TÉCNICAS'!R768*'ESTIMATIVA DE HORAS TÉCNICAS'!F$954</f>
        <v>431.41424020045611</v>
      </c>
      <c r="E760" s="411">
        <f>'CALCULO DO FATO K'!D$10</f>
        <v>2.3175723620309046</v>
      </c>
      <c r="F760" s="714"/>
      <c r="G760" s="714"/>
      <c r="H760" s="411">
        <f t="shared" si="50"/>
        <v>999.83371967513904</v>
      </c>
      <c r="I760" s="416"/>
      <c r="J760" s="767"/>
    </row>
    <row r="761" spans="1:10" ht="15.75">
      <c r="A761" s="426" t="s">
        <v>734</v>
      </c>
      <c r="B761" s="768" t="s">
        <v>150</v>
      </c>
      <c r="C761" s="409"/>
      <c r="D761" s="787">
        <f>'ESTIMATIVA DE HORAS TÉCNICAS'!F769*'ESTIMATIVA DE HORAS TÉCNICAS'!F$943+'ESTIMATIVA DE HORAS TÉCNICAS'!G769*'ESTIMATIVA DE HORAS TÉCNICAS'!F$942+'ESTIMATIVA DE HORAS TÉCNICAS'!H769*'ESTIMATIVA DE HORAS TÉCNICAS'!F$941+'ESTIMATIVA DE HORAS TÉCNICAS'!I769*'ESTIMATIVA DE HORAS TÉCNICAS'!F$945+'ESTIMATIVA DE HORAS TÉCNICAS'!J769*'ESTIMATIVA DE HORAS TÉCNICAS'!F$946+'ESTIMATIVA DE HORAS TÉCNICAS'!K769*'ESTIMATIVA DE HORAS TÉCNICAS'!$F$944+'ESTIMATIVA DE HORAS TÉCNICAS'!L769*'ESTIMATIVA DE HORAS TÉCNICAS'!F$951+'ESTIMATIVA DE HORAS TÉCNICAS'!M769*'ESTIMATIVA DE HORAS TÉCNICAS'!F$950+'ESTIMATIVA DE HORAS TÉCNICAS'!N769*'ESTIMATIVA DE HORAS TÉCNICAS'!F$949+'ESTIMATIVA DE HORAS TÉCNICAS'!O769*'ESTIMATIVA DE HORAS TÉCNICAS'!F$948+'ESTIMATIVA DE HORAS TÉCNICAS'!P769*'ESTIMATIVA DE HORAS TÉCNICAS'!$F$947+'ESTIMATIVA DE HORAS TÉCNICAS'!Q769*'ESTIMATIVA DE HORAS TÉCNICAS'!F$953+'ESTIMATIVA DE HORAS TÉCNICAS'!R769*'ESTIMATIVA DE HORAS TÉCNICAS'!F$954</f>
        <v>2114.6778941617731</v>
      </c>
      <c r="E761" s="411">
        <f>'CALCULO DO FATO K'!D$10</f>
        <v>2.3175723620309046</v>
      </c>
      <c r="F761" s="714"/>
      <c r="G761" s="714"/>
      <c r="H761" s="411">
        <f t="shared" si="50"/>
        <v>4900.9190421070398</v>
      </c>
      <c r="I761" s="416">
        <f>SUM(H754:H761)</f>
        <v>52194.695373606446</v>
      </c>
      <c r="J761" s="767"/>
    </row>
    <row r="762" spans="1:10" s="532" customFormat="1" ht="15.75">
      <c r="A762" s="426"/>
      <c r="B762" s="768"/>
      <c r="C762" s="409"/>
      <c r="D762" s="787"/>
      <c r="E762" s="411"/>
      <c r="F762" s="714"/>
      <c r="G762" s="714"/>
      <c r="H762" s="411"/>
      <c r="I762" s="416"/>
      <c r="J762" s="767"/>
    </row>
    <row r="763" spans="1:10" s="318" customFormat="1" ht="15.75">
      <c r="A763" s="426"/>
      <c r="B763" s="768"/>
      <c r="C763" s="409"/>
      <c r="D763" s="787"/>
      <c r="E763" s="411"/>
      <c r="F763" s="714"/>
      <c r="G763" s="714"/>
      <c r="H763" s="411"/>
      <c r="I763" s="416"/>
      <c r="J763" s="767"/>
    </row>
    <row r="764" spans="1:10" ht="15.75">
      <c r="A764" s="391" t="s">
        <v>735</v>
      </c>
      <c r="B764" s="427" t="s">
        <v>216</v>
      </c>
      <c r="C764" s="474"/>
      <c r="D764" s="796"/>
      <c r="E764" s="475"/>
      <c r="F764" s="475"/>
      <c r="G764" s="475"/>
      <c r="H764" s="475"/>
      <c r="I764" s="476"/>
      <c r="J764" s="767"/>
    </row>
    <row r="765" spans="1:10" ht="15.75">
      <c r="A765" s="426" t="s">
        <v>736</v>
      </c>
      <c r="B765" s="428" t="s">
        <v>326</v>
      </c>
      <c r="C765" s="409"/>
      <c r="D765" s="787">
        <f>'ESTIMATIVA DE HORAS TÉCNICAS'!F773*'ESTIMATIVA DE HORAS TÉCNICAS'!F$943+'ESTIMATIVA DE HORAS TÉCNICAS'!G773*'ESTIMATIVA DE HORAS TÉCNICAS'!F$942+'ESTIMATIVA DE HORAS TÉCNICAS'!H773*'ESTIMATIVA DE HORAS TÉCNICAS'!F$941+'ESTIMATIVA DE HORAS TÉCNICAS'!I773*'ESTIMATIVA DE HORAS TÉCNICAS'!F$945+'ESTIMATIVA DE HORAS TÉCNICAS'!J773*'ESTIMATIVA DE HORAS TÉCNICAS'!F$946+'ESTIMATIVA DE HORAS TÉCNICAS'!K773*'ESTIMATIVA DE HORAS TÉCNICAS'!$F$944+'ESTIMATIVA DE HORAS TÉCNICAS'!L773*'ESTIMATIVA DE HORAS TÉCNICAS'!F$951+'ESTIMATIVA DE HORAS TÉCNICAS'!M773*'ESTIMATIVA DE HORAS TÉCNICAS'!F$950+'ESTIMATIVA DE HORAS TÉCNICAS'!N773*'ESTIMATIVA DE HORAS TÉCNICAS'!F$949+'ESTIMATIVA DE HORAS TÉCNICAS'!O773*'ESTIMATIVA DE HORAS TÉCNICAS'!F$948+'ESTIMATIVA DE HORAS TÉCNICAS'!P773*'ESTIMATIVA DE HORAS TÉCNICAS'!$F$947+'ESTIMATIVA DE HORAS TÉCNICAS'!Q773*'ESTIMATIVA DE HORAS TÉCNICAS'!F$953+'ESTIMATIVA DE HORAS TÉCNICAS'!R773*'ESTIMATIVA DE HORAS TÉCNICAS'!F$954</f>
        <v>1862.9521763340094</v>
      </c>
      <c r="E765" s="411">
        <f>'CALCULO DO FATO K'!D$10</f>
        <v>2.3175723620309046</v>
      </c>
      <c r="F765" s="714"/>
      <c r="G765" s="714"/>
      <c r="H765" s="411">
        <f>D765*E765</f>
        <v>4317.5264756570241</v>
      </c>
      <c r="I765" s="416"/>
      <c r="J765" s="767"/>
    </row>
    <row r="766" spans="1:10" ht="15.75">
      <c r="A766" s="426" t="s">
        <v>737</v>
      </c>
      <c r="B766" s="768" t="s">
        <v>135</v>
      </c>
      <c r="C766" s="409"/>
      <c r="D766" s="787">
        <f>'ESTIMATIVA DE HORAS TÉCNICAS'!F774*'ESTIMATIVA DE HORAS TÉCNICAS'!F$943+'ESTIMATIVA DE HORAS TÉCNICAS'!G774*'ESTIMATIVA DE HORAS TÉCNICAS'!F$942+'ESTIMATIVA DE HORAS TÉCNICAS'!H774*'ESTIMATIVA DE HORAS TÉCNICAS'!F$941+'ESTIMATIVA DE HORAS TÉCNICAS'!I774*'ESTIMATIVA DE HORAS TÉCNICAS'!F$945+'ESTIMATIVA DE HORAS TÉCNICAS'!J774*'ESTIMATIVA DE HORAS TÉCNICAS'!F$946+'ESTIMATIVA DE HORAS TÉCNICAS'!K774*'ESTIMATIVA DE HORAS TÉCNICAS'!$F$944+'ESTIMATIVA DE HORAS TÉCNICAS'!L774*'ESTIMATIVA DE HORAS TÉCNICAS'!F$951+'ESTIMATIVA DE HORAS TÉCNICAS'!M774*'ESTIMATIVA DE HORAS TÉCNICAS'!F$950+'ESTIMATIVA DE HORAS TÉCNICAS'!N774*'ESTIMATIVA DE HORAS TÉCNICAS'!F$949+'ESTIMATIVA DE HORAS TÉCNICAS'!O774*'ESTIMATIVA DE HORAS TÉCNICAS'!F$948+'ESTIMATIVA DE HORAS TÉCNICAS'!P774*'ESTIMATIVA DE HORAS TÉCNICAS'!$F$947+'ESTIMATIVA DE HORAS TÉCNICAS'!Q774*'ESTIMATIVA DE HORAS TÉCNICAS'!F$953+'ESTIMATIVA DE HORAS TÉCNICAS'!R774*'ESTIMATIVA DE HORAS TÉCNICAS'!F$954</f>
        <v>1862.9521763340094</v>
      </c>
      <c r="E766" s="411">
        <f>'CALCULO DO FATO K'!D$10</f>
        <v>2.3175723620309046</v>
      </c>
      <c r="F766" s="714"/>
      <c r="G766" s="714"/>
      <c r="H766" s="411">
        <f t="shared" ref="H766:H772" si="51">D766*E766</f>
        <v>4317.5264756570241</v>
      </c>
      <c r="I766" s="416"/>
      <c r="J766" s="767"/>
    </row>
    <row r="767" spans="1:10" ht="15.75">
      <c r="A767" s="426" t="s">
        <v>738</v>
      </c>
      <c r="B767" s="428" t="s">
        <v>112</v>
      </c>
      <c r="C767" s="409"/>
      <c r="D767" s="787">
        <f>'ESTIMATIVA DE HORAS TÉCNICAS'!F775*'ESTIMATIVA DE HORAS TÉCNICAS'!F$943+'ESTIMATIVA DE HORAS TÉCNICAS'!G775*'ESTIMATIVA DE HORAS TÉCNICAS'!F$942+'ESTIMATIVA DE HORAS TÉCNICAS'!H775*'ESTIMATIVA DE HORAS TÉCNICAS'!F$941+'ESTIMATIVA DE HORAS TÉCNICAS'!I775*'ESTIMATIVA DE HORAS TÉCNICAS'!F$945+'ESTIMATIVA DE HORAS TÉCNICAS'!J775*'ESTIMATIVA DE HORAS TÉCNICAS'!F$946+'ESTIMATIVA DE HORAS TÉCNICAS'!K775*'ESTIMATIVA DE HORAS TÉCNICAS'!$F$944+'ESTIMATIVA DE HORAS TÉCNICAS'!L775*'ESTIMATIVA DE HORAS TÉCNICAS'!F$951+'ESTIMATIVA DE HORAS TÉCNICAS'!M775*'ESTIMATIVA DE HORAS TÉCNICAS'!F$950+'ESTIMATIVA DE HORAS TÉCNICAS'!N775*'ESTIMATIVA DE HORAS TÉCNICAS'!F$949+'ESTIMATIVA DE HORAS TÉCNICAS'!O775*'ESTIMATIVA DE HORAS TÉCNICAS'!F$948+'ESTIMATIVA DE HORAS TÉCNICAS'!P775*'ESTIMATIVA DE HORAS TÉCNICAS'!$F$947+'ESTIMATIVA DE HORAS TÉCNICAS'!Q775*'ESTIMATIVA DE HORAS TÉCNICAS'!F$953+'ESTIMATIVA DE HORAS TÉCNICAS'!R775*'ESTIMATIVA DE HORAS TÉCNICAS'!F$954</f>
        <v>1286.7615488059846</v>
      </c>
      <c r="E767" s="411">
        <f>'CALCULO DO FATO K'!D$10</f>
        <v>2.3175723620309046</v>
      </c>
      <c r="F767" s="714"/>
      <c r="G767" s="714"/>
      <c r="H767" s="411">
        <f t="shared" si="51"/>
        <v>2982.1630020368307</v>
      </c>
      <c r="I767" s="416"/>
      <c r="J767" s="767"/>
    </row>
    <row r="768" spans="1:10" ht="15.75">
      <c r="A768" s="426" t="s">
        <v>739</v>
      </c>
      <c r="B768" s="428" t="s">
        <v>152</v>
      </c>
      <c r="C768" s="409"/>
      <c r="D768" s="787">
        <f>'ESTIMATIVA DE HORAS TÉCNICAS'!F776*'ESTIMATIVA DE HORAS TÉCNICAS'!F$943+'ESTIMATIVA DE HORAS TÉCNICAS'!G776*'ESTIMATIVA DE HORAS TÉCNICAS'!F$942+'ESTIMATIVA DE HORAS TÉCNICAS'!H776*'ESTIMATIVA DE HORAS TÉCNICAS'!F$941+'ESTIMATIVA DE HORAS TÉCNICAS'!I776*'ESTIMATIVA DE HORAS TÉCNICAS'!F$945+'ESTIMATIVA DE HORAS TÉCNICAS'!J776*'ESTIMATIVA DE HORAS TÉCNICAS'!F$946+'ESTIMATIVA DE HORAS TÉCNICAS'!K776*'ESTIMATIVA DE HORAS TÉCNICAS'!$F$944+'ESTIMATIVA DE HORAS TÉCNICAS'!L776*'ESTIMATIVA DE HORAS TÉCNICAS'!F$951+'ESTIMATIVA DE HORAS TÉCNICAS'!M776*'ESTIMATIVA DE HORAS TÉCNICAS'!F$950+'ESTIMATIVA DE HORAS TÉCNICAS'!N776*'ESTIMATIVA DE HORAS TÉCNICAS'!F$949+'ESTIMATIVA DE HORAS TÉCNICAS'!O776*'ESTIMATIVA DE HORAS TÉCNICAS'!F$948+'ESTIMATIVA DE HORAS TÉCNICAS'!P776*'ESTIMATIVA DE HORAS TÉCNICAS'!$F$947+'ESTIMATIVA DE HORAS TÉCNICAS'!Q776*'ESTIMATIVA DE HORAS TÉCNICAS'!F$953+'ESTIMATIVA DE HORAS TÉCNICAS'!R776*'ESTIMATIVA DE HORAS TÉCNICAS'!F$954</f>
        <v>1286.7615488059846</v>
      </c>
      <c r="E768" s="411">
        <f>'CALCULO DO FATO K'!D$10</f>
        <v>2.3175723620309046</v>
      </c>
      <c r="F768" s="714"/>
      <c r="G768" s="714"/>
      <c r="H768" s="411">
        <f t="shared" si="51"/>
        <v>2982.1630020368307</v>
      </c>
      <c r="I768" s="416"/>
      <c r="J768" s="767"/>
    </row>
    <row r="769" spans="1:10" ht="15.75">
      <c r="A769" s="426" t="s">
        <v>740</v>
      </c>
      <c r="B769" s="428" t="s">
        <v>105</v>
      </c>
      <c r="C769" s="409"/>
      <c r="D769" s="787">
        <f>'ESTIMATIVA DE HORAS TÉCNICAS'!F777*'ESTIMATIVA DE HORAS TÉCNICAS'!F$943+'ESTIMATIVA DE HORAS TÉCNICAS'!G777*'ESTIMATIVA DE HORAS TÉCNICAS'!F$942+'ESTIMATIVA DE HORAS TÉCNICAS'!H777*'ESTIMATIVA DE HORAS TÉCNICAS'!F$941+'ESTIMATIVA DE HORAS TÉCNICAS'!I777*'ESTIMATIVA DE HORAS TÉCNICAS'!F$945+'ESTIMATIVA DE HORAS TÉCNICAS'!J777*'ESTIMATIVA DE HORAS TÉCNICAS'!F$946+'ESTIMATIVA DE HORAS TÉCNICAS'!K777*'ESTIMATIVA DE HORAS TÉCNICAS'!$F$944+'ESTIMATIVA DE HORAS TÉCNICAS'!L777*'ESTIMATIVA DE HORAS TÉCNICAS'!F$951+'ESTIMATIVA DE HORAS TÉCNICAS'!M777*'ESTIMATIVA DE HORAS TÉCNICAS'!F$950+'ESTIMATIVA DE HORAS TÉCNICAS'!N777*'ESTIMATIVA DE HORAS TÉCNICAS'!F$949+'ESTIMATIVA DE HORAS TÉCNICAS'!O777*'ESTIMATIVA DE HORAS TÉCNICAS'!F$948+'ESTIMATIVA DE HORAS TÉCNICAS'!P777*'ESTIMATIVA DE HORAS TÉCNICAS'!$F$947+'ESTIMATIVA DE HORAS TÉCNICAS'!Q777*'ESTIMATIVA DE HORAS TÉCNICAS'!F$953+'ESTIMATIVA DE HORAS TÉCNICAS'!R777*'ESTIMATIVA DE HORAS TÉCNICAS'!F$954</f>
        <v>2051.8316243446839</v>
      </c>
      <c r="E769" s="411">
        <f>'CALCULO DO FATO K'!D$10</f>
        <v>2.3175723620309046</v>
      </c>
      <c r="F769" s="714"/>
      <c r="G769" s="714"/>
      <c r="H769" s="411">
        <f t="shared" si="51"/>
        <v>4755.2682641222164</v>
      </c>
      <c r="I769" s="416"/>
      <c r="J769" s="767"/>
    </row>
    <row r="770" spans="1:10" ht="15.75">
      <c r="A770" s="426" t="s">
        <v>741</v>
      </c>
      <c r="B770" s="428" t="s">
        <v>595</v>
      </c>
      <c r="C770" s="409"/>
      <c r="D770" s="787">
        <f>'ESTIMATIVA DE HORAS TÉCNICAS'!F778*'ESTIMATIVA DE HORAS TÉCNICAS'!F$943+'ESTIMATIVA DE HORAS TÉCNICAS'!G778*'ESTIMATIVA DE HORAS TÉCNICAS'!F$942+'ESTIMATIVA DE HORAS TÉCNICAS'!H778*'ESTIMATIVA DE HORAS TÉCNICAS'!F$941+'ESTIMATIVA DE HORAS TÉCNICAS'!I778*'ESTIMATIVA DE HORAS TÉCNICAS'!F$945+'ESTIMATIVA DE HORAS TÉCNICAS'!J778*'ESTIMATIVA DE HORAS TÉCNICAS'!F$946+'ESTIMATIVA DE HORAS TÉCNICAS'!K778*'ESTIMATIVA DE HORAS TÉCNICAS'!$F$944+'ESTIMATIVA DE HORAS TÉCNICAS'!L778*'ESTIMATIVA DE HORAS TÉCNICAS'!F$951+'ESTIMATIVA DE HORAS TÉCNICAS'!M778*'ESTIMATIVA DE HORAS TÉCNICAS'!F$950+'ESTIMATIVA DE HORAS TÉCNICAS'!N778*'ESTIMATIVA DE HORAS TÉCNICAS'!F$949+'ESTIMATIVA DE HORAS TÉCNICAS'!O778*'ESTIMATIVA DE HORAS TÉCNICAS'!F$948+'ESTIMATIVA DE HORAS TÉCNICAS'!P778*'ESTIMATIVA DE HORAS TÉCNICAS'!$F$947+'ESTIMATIVA DE HORAS TÉCNICAS'!Q778*'ESTIMATIVA DE HORAS TÉCNICAS'!F$953+'ESTIMATIVA DE HORAS TÉCNICAS'!R778*'ESTIMATIVA DE HORAS TÉCNICAS'!F$954</f>
        <v>2051.8316243446839</v>
      </c>
      <c r="E770" s="411">
        <f>'CALCULO DO FATO K'!D$10</f>
        <v>2.3175723620309046</v>
      </c>
      <c r="F770" s="714"/>
      <c r="G770" s="714"/>
      <c r="H770" s="411">
        <f t="shared" si="51"/>
        <v>4755.2682641222164</v>
      </c>
      <c r="I770" s="416"/>
      <c r="J770" s="767"/>
    </row>
    <row r="771" spans="1:10" ht="15.75">
      <c r="A771" s="426" t="s">
        <v>742</v>
      </c>
      <c r="B771" s="768" t="s">
        <v>597</v>
      </c>
      <c r="C771" s="410"/>
      <c r="D771" s="787">
        <f>'ESTIMATIVA DE HORAS TÉCNICAS'!F779*'ESTIMATIVA DE HORAS TÉCNICAS'!F$943+'ESTIMATIVA DE HORAS TÉCNICAS'!G779*'ESTIMATIVA DE HORAS TÉCNICAS'!F$942+'ESTIMATIVA DE HORAS TÉCNICAS'!H779*'ESTIMATIVA DE HORAS TÉCNICAS'!F$941+'ESTIMATIVA DE HORAS TÉCNICAS'!I779*'ESTIMATIVA DE HORAS TÉCNICAS'!F$945+'ESTIMATIVA DE HORAS TÉCNICAS'!J779*'ESTIMATIVA DE HORAS TÉCNICAS'!F$946+'ESTIMATIVA DE HORAS TÉCNICAS'!K779*'ESTIMATIVA DE HORAS TÉCNICAS'!$F$944+'ESTIMATIVA DE HORAS TÉCNICAS'!L779*'ESTIMATIVA DE HORAS TÉCNICAS'!F$951+'ESTIMATIVA DE HORAS TÉCNICAS'!M779*'ESTIMATIVA DE HORAS TÉCNICAS'!F$950+'ESTIMATIVA DE HORAS TÉCNICAS'!N779*'ESTIMATIVA DE HORAS TÉCNICAS'!F$949+'ESTIMATIVA DE HORAS TÉCNICAS'!O779*'ESTIMATIVA DE HORAS TÉCNICAS'!F$948+'ESTIMATIVA DE HORAS TÉCNICAS'!P779*'ESTIMATIVA DE HORAS TÉCNICAS'!$F$947+'ESTIMATIVA DE HORAS TÉCNICAS'!Q779*'ESTIMATIVA DE HORAS TÉCNICAS'!F$953+'ESTIMATIVA DE HORAS TÉCNICAS'!R779*'ESTIMATIVA DE HORAS TÉCNICAS'!F$954</f>
        <v>441.51032747444401</v>
      </c>
      <c r="E771" s="411">
        <f>'CALCULO DO FATO K'!D$10</f>
        <v>2.3175723620309046</v>
      </c>
      <c r="F771" s="714"/>
      <c r="G771" s="714"/>
      <c r="H771" s="411">
        <f t="shared" si="51"/>
        <v>1023.2321325059854</v>
      </c>
      <c r="I771" s="416"/>
      <c r="J771" s="767"/>
    </row>
    <row r="772" spans="1:10" ht="15.75">
      <c r="A772" s="426" t="s">
        <v>743</v>
      </c>
      <c r="B772" s="768" t="s">
        <v>150</v>
      </c>
      <c r="C772" s="410"/>
      <c r="D772" s="787">
        <f>'ESTIMATIVA DE HORAS TÉCNICAS'!F780*'ESTIMATIVA DE HORAS TÉCNICAS'!F$943+'ESTIMATIVA DE HORAS TÉCNICAS'!G780*'ESTIMATIVA DE HORAS TÉCNICAS'!F$942+'ESTIMATIVA DE HORAS TÉCNICAS'!H780*'ESTIMATIVA DE HORAS TÉCNICAS'!F$941+'ESTIMATIVA DE HORAS TÉCNICAS'!I780*'ESTIMATIVA DE HORAS TÉCNICAS'!F$945+'ESTIMATIVA DE HORAS TÉCNICAS'!J780*'ESTIMATIVA DE HORAS TÉCNICAS'!F$946+'ESTIMATIVA DE HORAS TÉCNICAS'!K780*'ESTIMATIVA DE HORAS TÉCNICAS'!$F$944+'ESTIMATIVA DE HORAS TÉCNICAS'!L780*'ESTIMATIVA DE HORAS TÉCNICAS'!F$951+'ESTIMATIVA DE HORAS TÉCNICAS'!M780*'ESTIMATIVA DE HORAS TÉCNICAS'!F$950+'ESTIMATIVA DE HORAS TÉCNICAS'!N780*'ESTIMATIVA DE HORAS TÉCNICAS'!F$949+'ESTIMATIVA DE HORAS TÉCNICAS'!O780*'ESTIMATIVA DE HORAS TÉCNICAS'!F$948+'ESTIMATIVA DE HORAS TÉCNICAS'!P780*'ESTIMATIVA DE HORAS TÉCNICAS'!$F$947+'ESTIMATIVA DE HORAS TÉCNICAS'!Q780*'ESTIMATIVA DE HORAS TÉCNICAS'!F$953+'ESTIMATIVA DE HORAS TÉCNICAS'!R780*'ESTIMATIVA DE HORAS TÉCNICAS'!F$954</f>
        <v>1299.3513600117669</v>
      </c>
      <c r="E772" s="411">
        <f>'CALCULO DO FATO K'!D$10</f>
        <v>2.3175723620309046</v>
      </c>
      <c r="F772" s="714"/>
      <c r="G772" s="714"/>
      <c r="H772" s="411">
        <f t="shared" si="51"/>
        <v>3011.3408005305391</v>
      </c>
      <c r="I772" s="416">
        <f>SUM(H765:H772)</f>
        <v>28144.488416668668</v>
      </c>
      <c r="J772" s="767"/>
    </row>
    <row r="773" spans="1:10" s="532" customFormat="1" ht="15.75">
      <c r="A773" s="426"/>
      <c r="B773" s="768"/>
      <c r="C773" s="410"/>
      <c r="D773" s="787"/>
      <c r="E773" s="411"/>
      <c r="F773" s="714"/>
      <c r="G773" s="714"/>
      <c r="H773" s="411"/>
      <c r="I773" s="416"/>
      <c r="J773" s="767"/>
    </row>
    <row r="774" spans="1:10" s="318" customFormat="1" ht="15.75">
      <c r="A774" s="426"/>
      <c r="B774" s="768"/>
      <c r="C774" s="409"/>
      <c r="D774" s="787"/>
      <c r="E774" s="411"/>
      <c r="F774" s="714"/>
      <c r="G774" s="714"/>
      <c r="H774" s="411"/>
      <c r="I774" s="416"/>
      <c r="J774" s="767"/>
    </row>
    <row r="775" spans="1:10" ht="15.75">
      <c r="A775" s="391" t="s">
        <v>744</v>
      </c>
      <c r="B775" s="427" t="s">
        <v>222</v>
      </c>
      <c r="C775" s="474"/>
      <c r="D775" s="796"/>
      <c r="E775" s="475"/>
      <c r="F775" s="475"/>
      <c r="G775" s="475"/>
      <c r="H775" s="475"/>
      <c r="I775" s="476"/>
      <c r="J775" s="767"/>
    </row>
    <row r="776" spans="1:10" ht="15.75">
      <c r="A776" s="426" t="s">
        <v>745</v>
      </c>
      <c r="B776" s="428" t="s">
        <v>326</v>
      </c>
      <c r="C776" s="409"/>
      <c r="D776" s="787">
        <f>'ESTIMATIVA DE HORAS TÉCNICAS'!F784*'ESTIMATIVA DE HORAS TÉCNICAS'!F$943+'ESTIMATIVA DE HORAS TÉCNICAS'!G784*'ESTIMATIVA DE HORAS TÉCNICAS'!F$942+'ESTIMATIVA DE HORAS TÉCNICAS'!H784*'ESTIMATIVA DE HORAS TÉCNICAS'!F$941+'ESTIMATIVA DE HORAS TÉCNICAS'!I784*'ESTIMATIVA DE HORAS TÉCNICAS'!F$945+'ESTIMATIVA DE HORAS TÉCNICAS'!J784*'ESTIMATIVA DE HORAS TÉCNICAS'!F$946+'ESTIMATIVA DE HORAS TÉCNICAS'!K784*'ESTIMATIVA DE HORAS TÉCNICAS'!$F$944+'ESTIMATIVA DE HORAS TÉCNICAS'!L784*'ESTIMATIVA DE HORAS TÉCNICAS'!F$951+'ESTIMATIVA DE HORAS TÉCNICAS'!M784*'ESTIMATIVA DE HORAS TÉCNICAS'!F$950+'ESTIMATIVA DE HORAS TÉCNICAS'!N784*'ESTIMATIVA DE HORAS TÉCNICAS'!F$949+'ESTIMATIVA DE HORAS TÉCNICAS'!O784*'ESTIMATIVA DE HORAS TÉCNICAS'!F$948+'ESTIMATIVA DE HORAS TÉCNICAS'!P784*'ESTIMATIVA DE HORAS TÉCNICAS'!$F$947+'ESTIMATIVA DE HORAS TÉCNICAS'!Q784*'ESTIMATIVA DE HORAS TÉCNICAS'!F$953+'ESTIMATIVA DE HORAS TÉCNICAS'!R784*'ESTIMATIVA DE HORAS TÉCNICAS'!F$954</f>
        <v>2791.776999306599</v>
      </c>
      <c r="E776" s="411">
        <f>'CALCULO DO FATO K'!D$10</f>
        <v>2.3175723620309046</v>
      </c>
      <c r="F776" s="714"/>
      <c r="G776" s="714"/>
      <c r="H776" s="411">
        <f>D776*E776</f>
        <v>6470.1452145465455</v>
      </c>
      <c r="I776" s="416"/>
      <c r="J776" s="767"/>
    </row>
    <row r="777" spans="1:10" ht="15.75">
      <c r="A777" s="426" t="s">
        <v>746</v>
      </c>
      <c r="B777" s="428" t="s">
        <v>135</v>
      </c>
      <c r="C777" s="409"/>
      <c r="D777" s="787">
        <f>'ESTIMATIVA DE HORAS TÉCNICAS'!F785*'ESTIMATIVA DE HORAS TÉCNICAS'!F$943+'ESTIMATIVA DE HORAS TÉCNICAS'!G785*'ESTIMATIVA DE HORAS TÉCNICAS'!F$942+'ESTIMATIVA DE HORAS TÉCNICAS'!H785*'ESTIMATIVA DE HORAS TÉCNICAS'!F$941+'ESTIMATIVA DE HORAS TÉCNICAS'!I785*'ESTIMATIVA DE HORAS TÉCNICAS'!F$945+'ESTIMATIVA DE HORAS TÉCNICAS'!J785*'ESTIMATIVA DE HORAS TÉCNICAS'!F$946+'ESTIMATIVA DE HORAS TÉCNICAS'!K785*'ESTIMATIVA DE HORAS TÉCNICAS'!$F$944+'ESTIMATIVA DE HORAS TÉCNICAS'!L785*'ESTIMATIVA DE HORAS TÉCNICAS'!F$951+'ESTIMATIVA DE HORAS TÉCNICAS'!M785*'ESTIMATIVA DE HORAS TÉCNICAS'!F$950+'ESTIMATIVA DE HORAS TÉCNICAS'!N785*'ESTIMATIVA DE HORAS TÉCNICAS'!F$949+'ESTIMATIVA DE HORAS TÉCNICAS'!O785*'ESTIMATIVA DE HORAS TÉCNICAS'!F$948+'ESTIMATIVA DE HORAS TÉCNICAS'!P785*'ESTIMATIVA DE HORAS TÉCNICAS'!$F$947+'ESTIMATIVA DE HORAS TÉCNICAS'!Q785*'ESTIMATIVA DE HORAS TÉCNICAS'!F$953+'ESTIMATIVA DE HORAS TÉCNICAS'!R785*'ESTIMATIVA DE HORAS TÉCNICAS'!F$954</f>
        <v>1943.9108624964542</v>
      </c>
      <c r="E777" s="411">
        <f>'CALCULO DO FATO K'!D$10</f>
        <v>2.3175723620309046</v>
      </c>
      <c r="F777" s="714"/>
      <c r="G777" s="714"/>
      <c r="H777" s="411">
        <f t="shared" ref="H777:H783" si="52">D777*E777</f>
        <v>4505.1540891734403</v>
      </c>
      <c r="I777" s="416"/>
      <c r="J777" s="767"/>
    </row>
    <row r="778" spans="1:10" ht="15.75">
      <c r="A778" s="426" t="s">
        <v>747</v>
      </c>
      <c r="B778" s="428" t="s">
        <v>112</v>
      </c>
      <c r="C778" s="409"/>
      <c r="D778" s="787">
        <f>'ESTIMATIVA DE HORAS TÉCNICAS'!F786*'ESTIMATIVA DE HORAS TÉCNICAS'!F$943+'ESTIMATIVA DE HORAS TÉCNICAS'!G786*'ESTIMATIVA DE HORAS TÉCNICAS'!F$942+'ESTIMATIVA DE HORAS TÉCNICAS'!H786*'ESTIMATIVA DE HORAS TÉCNICAS'!F$941+'ESTIMATIVA DE HORAS TÉCNICAS'!I786*'ESTIMATIVA DE HORAS TÉCNICAS'!F$945+'ESTIMATIVA DE HORAS TÉCNICAS'!J786*'ESTIMATIVA DE HORAS TÉCNICAS'!F$946+'ESTIMATIVA DE HORAS TÉCNICAS'!K786*'ESTIMATIVA DE HORAS TÉCNICAS'!$F$944+'ESTIMATIVA DE HORAS TÉCNICAS'!L786*'ESTIMATIVA DE HORAS TÉCNICAS'!F$951+'ESTIMATIVA DE HORAS TÉCNICAS'!M786*'ESTIMATIVA DE HORAS TÉCNICAS'!F$950+'ESTIMATIVA DE HORAS TÉCNICAS'!N786*'ESTIMATIVA DE HORAS TÉCNICAS'!F$949+'ESTIMATIVA DE HORAS TÉCNICAS'!O786*'ESTIMATIVA DE HORAS TÉCNICAS'!F$948+'ESTIMATIVA DE HORAS TÉCNICAS'!P786*'ESTIMATIVA DE HORAS TÉCNICAS'!$F$947+'ESTIMATIVA DE HORAS TÉCNICAS'!Q786*'ESTIMATIVA DE HORAS TÉCNICAS'!F$953+'ESTIMATIVA DE HORAS TÉCNICAS'!R786*'ESTIMATIVA DE HORAS TÉCNICAS'!F$954</f>
        <v>2428.0863717785742</v>
      </c>
      <c r="E778" s="411">
        <f>'CALCULO DO FATO K'!D$10</f>
        <v>2.3175723620309046</v>
      </c>
      <c r="F778" s="714"/>
      <c r="G778" s="714"/>
      <c r="H778" s="411">
        <f t="shared" si="52"/>
        <v>5627.2658678579191</v>
      </c>
      <c r="I778" s="416"/>
      <c r="J778" s="767"/>
    </row>
    <row r="779" spans="1:10" ht="15.75">
      <c r="A779" s="426" t="s">
        <v>748</v>
      </c>
      <c r="B779" s="428" t="s">
        <v>152</v>
      </c>
      <c r="C779" s="409"/>
      <c r="D779" s="787">
        <f>'ESTIMATIVA DE HORAS TÉCNICAS'!F787*'ESTIMATIVA DE HORAS TÉCNICAS'!F$943+'ESTIMATIVA DE HORAS TÉCNICAS'!G787*'ESTIMATIVA DE HORAS TÉCNICAS'!F$942+'ESTIMATIVA DE HORAS TÉCNICAS'!H787*'ESTIMATIVA DE HORAS TÉCNICAS'!F$941+'ESTIMATIVA DE HORAS TÉCNICAS'!I787*'ESTIMATIVA DE HORAS TÉCNICAS'!F$945+'ESTIMATIVA DE HORAS TÉCNICAS'!J787*'ESTIMATIVA DE HORAS TÉCNICAS'!F$946+'ESTIMATIVA DE HORAS TÉCNICAS'!K787*'ESTIMATIVA DE HORAS TÉCNICAS'!$F$944+'ESTIMATIVA DE HORAS TÉCNICAS'!L787*'ESTIMATIVA DE HORAS TÉCNICAS'!F$951+'ESTIMATIVA DE HORAS TÉCNICAS'!M787*'ESTIMATIVA DE HORAS TÉCNICAS'!F$950+'ESTIMATIVA DE HORAS TÉCNICAS'!N787*'ESTIMATIVA DE HORAS TÉCNICAS'!F$949+'ESTIMATIVA DE HORAS TÉCNICAS'!O787*'ESTIMATIVA DE HORAS TÉCNICAS'!F$948+'ESTIMATIVA DE HORAS TÉCNICAS'!P787*'ESTIMATIVA DE HORAS TÉCNICAS'!$F$947+'ESTIMATIVA DE HORAS TÉCNICAS'!Q787*'ESTIMATIVA DE HORAS TÉCNICAS'!F$953+'ESTIMATIVA DE HORAS TÉCNICAS'!R787*'ESTIMATIVA DE HORAS TÉCNICAS'!F$954</f>
        <v>1580.2202349684292</v>
      </c>
      <c r="E779" s="411">
        <f>'CALCULO DO FATO K'!D$10</f>
        <v>2.3175723620309046</v>
      </c>
      <c r="F779" s="714"/>
      <c r="G779" s="714"/>
      <c r="H779" s="411">
        <f t="shared" si="52"/>
        <v>3662.2747424848135</v>
      </c>
      <c r="I779" s="416"/>
      <c r="J779" s="767"/>
    </row>
    <row r="780" spans="1:10" ht="15.75">
      <c r="A780" s="426" t="s">
        <v>749</v>
      </c>
      <c r="B780" s="428" t="s">
        <v>105</v>
      </c>
      <c r="C780" s="409"/>
      <c r="D780" s="787">
        <f>'ESTIMATIVA DE HORAS TÉCNICAS'!F788*'ESTIMATIVA DE HORAS TÉCNICAS'!F$943+'ESTIMATIVA DE HORAS TÉCNICAS'!G788*'ESTIMATIVA DE HORAS TÉCNICAS'!F$942+'ESTIMATIVA DE HORAS TÉCNICAS'!H788*'ESTIMATIVA DE HORAS TÉCNICAS'!F$941+'ESTIMATIVA DE HORAS TÉCNICAS'!I788*'ESTIMATIVA DE HORAS TÉCNICAS'!F$945+'ESTIMATIVA DE HORAS TÉCNICAS'!J788*'ESTIMATIVA DE HORAS TÉCNICAS'!F$946+'ESTIMATIVA DE HORAS TÉCNICAS'!K788*'ESTIMATIVA DE HORAS TÉCNICAS'!$F$944+'ESTIMATIVA DE HORAS TÉCNICAS'!L788*'ESTIMATIVA DE HORAS TÉCNICAS'!F$951+'ESTIMATIVA DE HORAS TÉCNICAS'!M788*'ESTIMATIVA DE HORAS TÉCNICAS'!F$950+'ESTIMATIVA DE HORAS TÉCNICAS'!N788*'ESTIMATIVA DE HORAS TÉCNICAS'!F$949+'ESTIMATIVA DE HORAS TÉCNICAS'!O788*'ESTIMATIVA DE HORAS TÉCNICAS'!F$948+'ESTIMATIVA DE HORAS TÉCNICAS'!P788*'ESTIMATIVA DE HORAS TÉCNICAS'!$F$947+'ESTIMATIVA DE HORAS TÉCNICAS'!Q788*'ESTIMATIVA DE HORAS TÉCNICAS'!F$953+'ESTIMATIVA DE HORAS TÉCNICAS'!R788*'ESTIMATIVA DE HORAS TÉCNICAS'!F$954</f>
        <v>2345.2903105071287</v>
      </c>
      <c r="E780" s="411">
        <f>'CALCULO DO FATO K'!D$10</f>
        <v>2.3175723620309046</v>
      </c>
      <c r="F780" s="714"/>
      <c r="G780" s="714"/>
      <c r="H780" s="411">
        <f t="shared" si="52"/>
        <v>5435.3800045702001</v>
      </c>
      <c r="I780" s="416"/>
      <c r="J780" s="767"/>
    </row>
    <row r="781" spans="1:10" ht="15.75">
      <c r="A781" s="426" t="s">
        <v>750</v>
      </c>
      <c r="B781" s="428" t="s">
        <v>595</v>
      </c>
      <c r="C781" s="409"/>
      <c r="D781" s="787">
        <f>'ESTIMATIVA DE HORAS TÉCNICAS'!F789*'ESTIMATIVA DE HORAS TÉCNICAS'!F$943+'ESTIMATIVA DE HORAS TÉCNICAS'!G789*'ESTIMATIVA DE HORAS TÉCNICAS'!F$942+'ESTIMATIVA DE HORAS TÉCNICAS'!H789*'ESTIMATIVA DE HORAS TÉCNICAS'!F$941+'ESTIMATIVA DE HORAS TÉCNICAS'!I789*'ESTIMATIVA DE HORAS TÉCNICAS'!F$945+'ESTIMATIVA DE HORAS TÉCNICAS'!J789*'ESTIMATIVA DE HORAS TÉCNICAS'!F$946+'ESTIMATIVA DE HORAS TÉCNICAS'!K789*'ESTIMATIVA DE HORAS TÉCNICAS'!$F$944+'ESTIMATIVA DE HORAS TÉCNICAS'!L789*'ESTIMATIVA DE HORAS TÉCNICAS'!F$951+'ESTIMATIVA DE HORAS TÉCNICAS'!M789*'ESTIMATIVA DE HORAS TÉCNICAS'!F$950+'ESTIMATIVA DE HORAS TÉCNICAS'!N789*'ESTIMATIVA DE HORAS TÉCNICAS'!F$949+'ESTIMATIVA DE HORAS TÉCNICAS'!O789*'ESTIMATIVA DE HORAS TÉCNICAS'!F$948+'ESTIMATIVA DE HORAS TÉCNICAS'!P789*'ESTIMATIVA DE HORAS TÉCNICAS'!$F$947+'ESTIMATIVA DE HORAS TÉCNICAS'!Q789*'ESTIMATIVA DE HORAS TÉCNICAS'!F$953+'ESTIMATIVA DE HORAS TÉCNICAS'!R789*'ESTIMATIVA DE HORAS TÉCNICAS'!F$954</f>
        <v>2345.2903105071287</v>
      </c>
      <c r="E781" s="411">
        <f>'CALCULO DO FATO K'!D$10</f>
        <v>2.3175723620309046</v>
      </c>
      <c r="F781" s="714"/>
      <c r="G781" s="714"/>
      <c r="H781" s="411">
        <f t="shared" si="52"/>
        <v>5435.3800045702001</v>
      </c>
      <c r="I781" s="416"/>
      <c r="J781" s="767"/>
    </row>
    <row r="782" spans="1:10" ht="15.75">
      <c r="A782" s="426" t="s">
        <v>751</v>
      </c>
      <c r="B782" s="768" t="s">
        <v>597</v>
      </c>
      <c r="C782" s="410"/>
      <c r="D782" s="787">
        <f>'ESTIMATIVA DE HORAS TÉCNICAS'!F790*'ESTIMATIVA DE HORAS TÉCNICAS'!F$943+'ESTIMATIVA DE HORAS TÉCNICAS'!G790*'ESTIMATIVA DE HORAS TÉCNICAS'!F$942+'ESTIMATIVA DE HORAS TÉCNICAS'!H790*'ESTIMATIVA DE HORAS TÉCNICAS'!F$941+'ESTIMATIVA DE HORAS TÉCNICAS'!I790*'ESTIMATIVA DE HORAS TÉCNICAS'!F$945+'ESTIMATIVA DE HORAS TÉCNICAS'!J790*'ESTIMATIVA DE HORAS TÉCNICAS'!F$946+'ESTIMATIVA DE HORAS TÉCNICAS'!K790*'ESTIMATIVA DE HORAS TÉCNICAS'!$F$944+'ESTIMATIVA DE HORAS TÉCNICAS'!L790*'ESTIMATIVA DE HORAS TÉCNICAS'!F$951+'ESTIMATIVA DE HORAS TÉCNICAS'!M790*'ESTIMATIVA DE HORAS TÉCNICAS'!F$950+'ESTIMATIVA DE HORAS TÉCNICAS'!N790*'ESTIMATIVA DE HORAS TÉCNICAS'!F$949+'ESTIMATIVA DE HORAS TÉCNICAS'!O790*'ESTIMATIVA DE HORAS TÉCNICAS'!F$948+'ESTIMATIVA DE HORAS TÉCNICAS'!P790*'ESTIMATIVA DE HORAS TÉCNICAS'!$F$947+'ESTIMATIVA DE HORAS TÉCNICAS'!Q790*'ESTIMATIVA DE HORAS TÉCNICAS'!F$953+'ESTIMATIVA DE HORAS TÉCNICAS'!R790*'ESTIMATIVA DE HORAS TÉCNICAS'!F$954</f>
        <v>441.51032747444401</v>
      </c>
      <c r="E782" s="411">
        <f>'CALCULO DO FATO K'!D$10</f>
        <v>2.3175723620309046</v>
      </c>
      <c r="F782" s="714"/>
      <c r="G782" s="714"/>
      <c r="H782" s="411">
        <f t="shared" si="52"/>
        <v>1023.2321325059854</v>
      </c>
      <c r="I782" s="416"/>
      <c r="J782" s="767"/>
    </row>
    <row r="783" spans="1:10" ht="15.75">
      <c r="A783" s="426" t="s">
        <v>752</v>
      </c>
      <c r="B783" s="768" t="s">
        <v>150</v>
      </c>
      <c r="C783" s="410"/>
      <c r="D783" s="787">
        <f>'ESTIMATIVA DE HORAS TÉCNICAS'!F791*'ESTIMATIVA DE HORAS TÉCNICAS'!F$943+'ESTIMATIVA DE HORAS TÉCNICAS'!G791*'ESTIMATIVA DE HORAS TÉCNICAS'!F$942+'ESTIMATIVA DE HORAS TÉCNICAS'!H791*'ESTIMATIVA DE HORAS TÉCNICAS'!F$941+'ESTIMATIVA DE HORAS TÉCNICAS'!I791*'ESTIMATIVA DE HORAS TÉCNICAS'!F$945+'ESTIMATIVA DE HORAS TÉCNICAS'!J791*'ESTIMATIVA DE HORAS TÉCNICAS'!F$946+'ESTIMATIVA DE HORAS TÉCNICAS'!K791*'ESTIMATIVA DE HORAS TÉCNICAS'!$F$944+'ESTIMATIVA DE HORAS TÉCNICAS'!L791*'ESTIMATIVA DE HORAS TÉCNICAS'!F$951+'ESTIMATIVA DE HORAS TÉCNICAS'!M791*'ESTIMATIVA DE HORAS TÉCNICAS'!F$950+'ESTIMATIVA DE HORAS TÉCNICAS'!N791*'ESTIMATIVA DE HORAS TÉCNICAS'!F$949+'ESTIMATIVA DE HORAS TÉCNICAS'!O791*'ESTIMATIVA DE HORAS TÉCNICAS'!F$948+'ESTIMATIVA DE HORAS TÉCNICAS'!P791*'ESTIMATIVA DE HORAS TÉCNICAS'!$F$947+'ESTIMATIVA DE HORAS TÉCNICAS'!Q791*'ESTIMATIVA DE HORAS TÉCNICAS'!F$953+'ESTIMATIVA DE HORAS TÉCNICAS'!R791*'ESTIMATIVA DE HORAS TÉCNICAS'!F$954</f>
        <v>1494.9904841200635</v>
      </c>
      <c r="E783" s="411">
        <f>'CALCULO DO FATO K'!D$10</f>
        <v>2.3175723620309046</v>
      </c>
      <c r="F783" s="714"/>
      <c r="G783" s="714"/>
      <c r="H783" s="411">
        <f t="shared" si="52"/>
        <v>3464.748627495861</v>
      </c>
      <c r="I783" s="416">
        <f>SUM(H776:H783)</f>
        <v>35623.580683204964</v>
      </c>
      <c r="J783" s="767"/>
    </row>
    <row r="784" spans="1:10" s="532" customFormat="1" ht="15.75">
      <c r="A784" s="426"/>
      <c r="B784" s="768"/>
      <c r="C784" s="410"/>
      <c r="D784" s="787"/>
      <c r="E784" s="411"/>
      <c r="F784" s="714"/>
      <c r="G784" s="714"/>
      <c r="H784" s="411"/>
      <c r="I784" s="416"/>
      <c r="J784" s="767"/>
    </row>
    <row r="785" spans="1:10" s="318" customFormat="1" ht="15.75">
      <c r="A785" s="426"/>
      <c r="B785" s="768"/>
      <c r="C785" s="409"/>
      <c r="D785" s="787"/>
      <c r="E785" s="411"/>
      <c r="F785" s="714"/>
      <c r="G785" s="714"/>
      <c r="H785" s="411"/>
      <c r="I785" s="416"/>
      <c r="J785" s="767"/>
    </row>
    <row r="786" spans="1:10" ht="15.75">
      <c r="A786" s="391" t="s">
        <v>753</v>
      </c>
      <c r="B786" s="427" t="s">
        <v>231</v>
      </c>
      <c r="C786" s="474"/>
      <c r="D786" s="796"/>
      <c r="E786" s="475"/>
      <c r="F786" s="475"/>
      <c r="G786" s="475"/>
      <c r="H786" s="475"/>
      <c r="I786" s="476"/>
      <c r="J786" s="767"/>
    </row>
    <row r="787" spans="1:10" ht="15.75">
      <c r="A787" s="426" t="s">
        <v>754</v>
      </c>
      <c r="B787" s="428" t="s">
        <v>326</v>
      </c>
      <c r="C787" s="409"/>
      <c r="D787" s="787">
        <f>'ESTIMATIVA DE HORAS TÉCNICAS'!F795*'ESTIMATIVA DE HORAS TÉCNICAS'!F$943+'ESTIMATIVA DE HORAS TÉCNICAS'!G795*'ESTIMATIVA DE HORAS TÉCNICAS'!F$942+'ESTIMATIVA DE HORAS TÉCNICAS'!H795*'ESTIMATIVA DE HORAS TÉCNICAS'!F$941+'ESTIMATIVA DE HORAS TÉCNICAS'!I795*'ESTIMATIVA DE HORAS TÉCNICAS'!F$945+'ESTIMATIVA DE HORAS TÉCNICAS'!J795*'ESTIMATIVA DE HORAS TÉCNICAS'!F$946+'ESTIMATIVA DE HORAS TÉCNICAS'!K795*'ESTIMATIVA DE HORAS TÉCNICAS'!$F$944+'ESTIMATIVA DE HORAS TÉCNICAS'!L795*'ESTIMATIVA DE HORAS TÉCNICAS'!F$951+'ESTIMATIVA DE HORAS TÉCNICAS'!M795*'ESTIMATIVA DE HORAS TÉCNICAS'!F$950+'ESTIMATIVA DE HORAS TÉCNICAS'!N795*'ESTIMATIVA DE HORAS TÉCNICAS'!F$949+'ESTIMATIVA DE HORAS TÉCNICAS'!O795*'ESTIMATIVA DE HORAS TÉCNICAS'!F$948+'ESTIMATIVA DE HORAS TÉCNICAS'!P795*'ESTIMATIVA DE HORAS TÉCNICAS'!$F$947+'ESTIMATIVA DE HORAS TÉCNICAS'!Q795*'ESTIMATIVA DE HORAS TÉCNICAS'!F$953+'ESTIMATIVA DE HORAS TÉCNICAS'!R795*'ESTIMATIVA DE HORAS TÉCNICAS'!F$954</f>
        <v>6511.1893260876423</v>
      </c>
      <c r="E787" s="411">
        <f>'CALCULO DO FATO K'!D$10</f>
        <v>2.3175723620309046</v>
      </c>
      <c r="F787" s="714"/>
      <c r="G787" s="714"/>
      <c r="H787" s="411">
        <f>D787*E787</f>
        <v>15090.15242609135</v>
      </c>
      <c r="I787" s="416"/>
      <c r="J787" s="767"/>
    </row>
    <row r="788" spans="1:10" ht="15.75">
      <c r="A788" s="426" t="s">
        <v>755</v>
      </c>
      <c r="B788" s="428" t="s">
        <v>135</v>
      </c>
      <c r="C788" s="409"/>
      <c r="D788" s="787">
        <f>'ESTIMATIVA DE HORAS TÉCNICAS'!F796*'ESTIMATIVA DE HORAS TÉCNICAS'!F$943+'ESTIMATIVA DE HORAS TÉCNICAS'!G796*'ESTIMATIVA DE HORAS TÉCNICAS'!F$942+'ESTIMATIVA DE HORAS TÉCNICAS'!H796*'ESTIMATIVA DE HORAS TÉCNICAS'!F$941+'ESTIMATIVA DE HORAS TÉCNICAS'!I796*'ESTIMATIVA DE HORAS TÉCNICAS'!F$945+'ESTIMATIVA DE HORAS TÉCNICAS'!J796*'ESTIMATIVA DE HORAS TÉCNICAS'!F$946+'ESTIMATIVA DE HORAS TÉCNICAS'!K796*'ESTIMATIVA DE HORAS TÉCNICAS'!$F$944+'ESTIMATIVA DE HORAS TÉCNICAS'!L796*'ESTIMATIVA DE HORAS TÉCNICAS'!F$951+'ESTIMATIVA DE HORAS TÉCNICAS'!M796*'ESTIMATIVA DE HORAS TÉCNICAS'!F$950+'ESTIMATIVA DE HORAS TÉCNICAS'!N796*'ESTIMATIVA DE HORAS TÉCNICAS'!F$949+'ESTIMATIVA DE HORAS TÉCNICAS'!O796*'ESTIMATIVA DE HORAS TÉCNICAS'!F$948+'ESTIMATIVA DE HORAS TÉCNICAS'!P796*'ESTIMATIVA DE HORAS TÉCNICAS'!$F$947+'ESTIMATIVA DE HORAS TÉCNICAS'!Q796*'ESTIMATIVA DE HORAS TÉCNICAS'!F$953+'ESTIMATIVA DE HORAS TÉCNICAS'!R796*'ESTIMATIVA DE HORAS TÉCNICAS'!F$954</f>
        <v>6511.1893260876423</v>
      </c>
      <c r="E788" s="411">
        <f>'CALCULO DO FATO K'!D$10</f>
        <v>2.3175723620309046</v>
      </c>
      <c r="F788" s="714"/>
      <c r="G788" s="714"/>
      <c r="H788" s="411">
        <f t="shared" ref="H788:H794" si="53">D788*E788</f>
        <v>15090.15242609135</v>
      </c>
      <c r="I788" s="416"/>
      <c r="J788" s="767"/>
    </row>
    <row r="789" spans="1:10" ht="15.75">
      <c r="A789" s="426" t="s">
        <v>756</v>
      </c>
      <c r="B789" s="428" t="s">
        <v>112</v>
      </c>
      <c r="C789" s="409"/>
      <c r="D789" s="787">
        <f>'ESTIMATIVA DE HORAS TÉCNICAS'!F797*'ESTIMATIVA DE HORAS TÉCNICAS'!F$943+'ESTIMATIVA DE HORAS TÉCNICAS'!G797*'ESTIMATIVA DE HORAS TÉCNICAS'!F$942+'ESTIMATIVA DE HORAS TÉCNICAS'!H797*'ESTIMATIVA DE HORAS TÉCNICAS'!F$941+'ESTIMATIVA DE HORAS TÉCNICAS'!I797*'ESTIMATIVA DE HORAS TÉCNICAS'!F$945+'ESTIMATIVA DE HORAS TÉCNICAS'!J797*'ESTIMATIVA DE HORAS TÉCNICAS'!F$946+'ESTIMATIVA DE HORAS TÉCNICAS'!K797*'ESTIMATIVA DE HORAS TÉCNICAS'!$F$944+'ESTIMATIVA DE HORAS TÉCNICAS'!L797*'ESTIMATIVA DE HORAS TÉCNICAS'!F$951+'ESTIMATIVA DE HORAS TÉCNICAS'!M797*'ESTIMATIVA DE HORAS TÉCNICAS'!F$950+'ESTIMATIVA DE HORAS TÉCNICAS'!N797*'ESTIMATIVA DE HORAS TÉCNICAS'!F$949+'ESTIMATIVA DE HORAS TÉCNICAS'!O797*'ESTIMATIVA DE HORAS TÉCNICAS'!F$948+'ESTIMATIVA DE HORAS TÉCNICAS'!P797*'ESTIMATIVA DE HORAS TÉCNICAS'!$F$947+'ESTIMATIVA DE HORAS TÉCNICAS'!Q797*'ESTIMATIVA DE HORAS TÉCNICAS'!F$953+'ESTIMATIVA DE HORAS TÉCNICAS'!R797*'ESTIMATIVA DE HORAS TÉCNICAS'!F$954</f>
        <v>6511.1893260876423</v>
      </c>
      <c r="E789" s="411">
        <f>'CALCULO DO FATO K'!D$10</f>
        <v>2.3175723620309046</v>
      </c>
      <c r="F789" s="714"/>
      <c r="G789" s="714"/>
      <c r="H789" s="411">
        <f t="shared" si="53"/>
        <v>15090.15242609135</v>
      </c>
      <c r="I789" s="416"/>
      <c r="J789" s="767"/>
    </row>
    <row r="790" spans="1:10" ht="15.75">
      <c r="A790" s="426" t="s">
        <v>757</v>
      </c>
      <c r="B790" s="428" t="s">
        <v>152</v>
      </c>
      <c r="C790" s="409"/>
      <c r="D790" s="787">
        <f>'ESTIMATIVA DE HORAS TÉCNICAS'!F798*'ESTIMATIVA DE HORAS TÉCNICAS'!F$943+'ESTIMATIVA DE HORAS TÉCNICAS'!G798*'ESTIMATIVA DE HORAS TÉCNICAS'!F$942+'ESTIMATIVA DE HORAS TÉCNICAS'!H798*'ESTIMATIVA DE HORAS TÉCNICAS'!F$941+'ESTIMATIVA DE HORAS TÉCNICAS'!I798*'ESTIMATIVA DE HORAS TÉCNICAS'!F$945+'ESTIMATIVA DE HORAS TÉCNICAS'!J798*'ESTIMATIVA DE HORAS TÉCNICAS'!F$946+'ESTIMATIVA DE HORAS TÉCNICAS'!K798*'ESTIMATIVA DE HORAS TÉCNICAS'!$F$944+'ESTIMATIVA DE HORAS TÉCNICAS'!L798*'ESTIMATIVA DE HORAS TÉCNICAS'!F$951+'ESTIMATIVA DE HORAS TÉCNICAS'!M798*'ESTIMATIVA DE HORAS TÉCNICAS'!F$950+'ESTIMATIVA DE HORAS TÉCNICAS'!N798*'ESTIMATIVA DE HORAS TÉCNICAS'!F$949+'ESTIMATIVA DE HORAS TÉCNICAS'!O798*'ESTIMATIVA DE HORAS TÉCNICAS'!F$948+'ESTIMATIVA DE HORAS TÉCNICAS'!P798*'ESTIMATIVA DE HORAS TÉCNICAS'!$F$947+'ESTIMATIVA DE HORAS TÉCNICAS'!Q798*'ESTIMATIVA DE HORAS TÉCNICAS'!F$953+'ESTIMATIVA DE HORAS TÉCNICAS'!R798*'ESTIMATIVA DE HORAS TÉCNICAS'!F$954</f>
        <v>1912.8595403065674</v>
      </c>
      <c r="E790" s="411">
        <f>'CALCULO DO FATO K'!D$10</f>
        <v>2.3175723620309046</v>
      </c>
      <c r="F790" s="714"/>
      <c r="G790" s="714"/>
      <c r="H790" s="411">
        <f t="shared" si="53"/>
        <v>4433.1904030616415</v>
      </c>
      <c r="I790" s="416"/>
      <c r="J790" s="767"/>
    </row>
    <row r="791" spans="1:10" ht="15.75">
      <c r="A791" s="426" t="s">
        <v>758</v>
      </c>
      <c r="B791" s="428" t="s">
        <v>105</v>
      </c>
      <c r="C791" s="409"/>
      <c r="D791" s="787">
        <f>'ESTIMATIVA DE HORAS TÉCNICAS'!F799*'ESTIMATIVA DE HORAS TÉCNICAS'!F$943+'ESTIMATIVA DE HORAS TÉCNICAS'!G799*'ESTIMATIVA DE HORAS TÉCNICAS'!F$942+'ESTIMATIVA DE HORAS TÉCNICAS'!H799*'ESTIMATIVA DE HORAS TÉCNICAS'!F$941+'ESTIMATIVA DE HORAS TÉCNICAS'!I799*'ESTIMATIVA DE HORAS TÉCNICAS'!F$945+'ESTIMATIVA DE HORAS TÉCNICAS'!J799*'ESTIMATIVA DE HORAS TÉCNICAS'!F$946+'ESTIMATIVA DE HORAS TÉCNICAS'!K799*'ESTIMATIVA DE HORAS TÉCNICAS'!$F$944+'ESTIMATIVA DE HORAS TÉCNICAS'!L799*'ESTIMATIVA DE HORAS TÉCNICAS'!F$951+'ESTIMATIVA DE HORAS TÉCNICAS'!M799*'ESTIMATIVA DE HORAS TÉCNICAS'!F$950+'ESTIMATIVA DE HORAS TÉCNICAS'!N799*'ESTIMATIVA DE HORAS TÉCNICAS'!F$949+'ESTIMATIVA DE HORAS TÉCNICAS'!O799*'ESTIMATIVA DE HORAS TÉCNICAS'!F$948+'ESTIMATIVA DE HORAS TÉCNICAS'!P799*'ESTIMATIVA DE HORAS TÉCNICAS'!$F$947+'ESTIMATIVA DE HORAS TÉCNICAS'!Q799*'ESTIMATIVA DE HORAS TÉCNICAS'!F$953+'ESTIMATIVA DE HORAS TÉCNICAS'!R799*'ESTIMATIVA DE HORAS TÉCNICAS'!F$954</f>
        <v>6952.6996535620865</v>
      </c>
      <c r="E791" s="411">
        <f>'CALCULO DO FATO K'!D$10</f>
        <v>2.3175723620309046</v>
      </c>
      <c r="F791" s="714"/>
      <c r="G791" s="714"/>
      <c r="H791" s="411">
        <f t="shared" si="53"/>
        <v>16113.384558597336</v>
      </c>
      <c r="I791" s="416"/>
      <c r="J791" s="767"/>
    </row>
    <row r="792" spans="1:10" ht="15.75">
      <c r="A792" s="426" t="s">
        <v>759</v>
      </c>
      <c r="B792" s="428" t="s">
        <v>595</v>
      </c>
      <c r="C792" s="409"/>
      <c r="D792" s="787">
        <f>'ESTIMATIVA DE HORAS TÉCNICAS'!F800*'ESTIMATIVA DE HORAS TÉCNICAS'!F$943+'ESTIMATIVA DE HORAS TÉCNICAS'!G800*'ESTIMATIVA DE HORAS TÉCNICAS'!F$942+'ESTIMATIVA DE HORAS TÉCNICAS'!H800*'ESTIMATIVA DE HORAS TÉCNICAS'!F$941+'ESTIMATIVA DE HORAS TÉCNICAS'!I800*'ESTIMATIVA DE HORAS TÉCNICAS'!F$945+'ESTIMATIVA DE HORAS TÉCNICAS'!J800*'ESTIMATIVA DE HORAS TÉCNICAS'!F$946+'ESTIMATIVA DE HORAS TÉCNICAS'!K800*'ESTIMATIVA DE HORAS TÉCNICAS'!$F$944+'ESTIMATIVA DE HORAS TÉCNICAS'!L800*'ESTIMATIVA DE HORAS TÉCNICAS'!F$951+'ESTIMATIVA DE HORAS TÉCNICAS'!M800*'ESTIMATIVA DE HORAS TÉCNICAS'!F$950+'ESTIMATIVA DE HORAS TÉCNICAS'!N800*'ESTIMATIVA DE HORAS TÉCNICAS'!F$949+'ESTIMATIVA DE HORAS TÉCNICAS'!O800*'ESTIMATIVA DE HORAS TÉCNICAS'!F$948+'ESTIMATIVA DE HORAS TÉCNICAS'!P800*'ESTIMATIVA DE HORAS TÉCNICAS'!$F$947+'ESTIMATIVA DE HORAS TÉCNICAS'!Q800*'ESTIMATIVA DE HORAS TÉCNICAS'!F$953+'ESTIMATIVA DE HORAS TÉCNICAS'!R800*'ESTIMATIVA DE HORAS TÉCNICAS'!F$954</f>
        <v>6952.6996535620865</v>
      </c>
      <c r="E792" s="411">
        <f>'CALCULO DO FATO K'!D$10</f>
        <v>2.3175723620309046</v>
      </c>
      <c r="F792" s="714"/>
      <c r="G792" s="714"/>
      <c r="H792" s="411">
        <f t="shared" si="53"/>
        <v>16113.384558597336</v>
      </c>
      <c r="I792" s="416"/>
      <c r="J792" s="767"/>
    </row>
    <row r="793" spans="1:10" ht="15.75">
      <c r="A793" s="426" t="s">
        <v>760</v>
      </c>
      <c r="B793" s="768" t="s">
        <v>597</v>
      </c>
      <c r="C793" s="410"/>
      <c r="D793" s="787">
        <f>'ESTIMATIVA DE HORAS TÉCNICAS'!F801*'ESTIMATIVA DE HORAS TÉCNICAS'!F$943+'ESTIMATIVA DE HORAS TÉCNICAS'!G801*'ESTIMATIVA DE HORAS TÉCNICAS'!F$942+'ESTIMATIVA DE HORAS TÉCNICAS'!H801*'ESTIMATIVA DE HORAS TÉCNICAS'!F$941+'ESTIMATIVA DE HORAS TÉCNICAS'!I801*'ESTIMATIVA DE HORAS TÉCNICAS'!F$945+'ESTIMATIVA DE HORAS TÉCNICAS'!J801*'ESTIMATIVA DE HORAS TÉCNICAS'!F$946+'ESTIMATIVA DE HORAS TÉCNICAS'!K801*'ESTIMATIVA DE HORAS TÉCNICAS'!$F$944+'ESTIMATIVA DE HORAS TÉCNICAS'!L801*'ESTIMATIVA DE HORAS TÉCNICAS'!F$951+'ESTIMATIVA DE HORAS TÉCNICAS'!M801*'ESTIMATIVA DE HORAS TÉCNICAS'!F$950+'ESTIMATIVA DE HORAS TÉCNICAS'!N801*'ESTIMATIVA DE HORAS TÉCNICAS'!F$949+'ESTIMATIVA DE HORAS TÉCNICAS'!O801*'ESTIMATIVA DE HORAS TÉCNICAS'!F$948+'ESTIMATIVA DE HORAS TÉCNICAS'!P801*'ESTIMATIVA DE HORAS TÉCNICAS'!$F$947+'ESTIMATIVA DE HORAS TÉCNICAS'!Q801*'ESTIMATIVA DE HORAS TÉCNICAS'!F$953+'ESTIMATIVA DE HORAS TÉCNICAS'!R801*'ESTIMATIVA DE HORAS TÉCNICAS'!F$954</f>
        <v>441.51032747444401</v>
      </c>
      <c r="E793" s="411">
        <f>'CALCULO DO FATO K'!D$10</f>
        <v>2.3175723620309046</v>
      </c>
      <c r="F793" s="714"/>
      <c r="G793" s="714"/>
      <c r="H793" s="411">
        <f t="shared" si="53"/>
        <v>1023.2321325059854</v>
      </c>
      <c r="I793" s="416"/>
      <c r="J793" s="767"/>
    </row>
    <row r="794" spans="1:10" ht="15.75">
      <c r="A794" s="426" t="s">
        <v>761</v>
      </c>
      <c r="B794" s="768" t="s">
        <v>150</v>
      </c>
      <c r="C794" s="410"/>
      <c r="D794" s="787">
        <f>'ESTIMATIVA DE HORAS TÉCNICAS'!F802*'ESTIMATIVA DE HORAS TÉCNICAS'!F$943+'ESTIMATIVA DE HORAS TÉCNICAS'!G802*'ESTIMATIVA DE HORAS TÉCNICAS'!F$942+'ESTIMATIVA DE HORAS TÉCNICAS'!H802*'ESTIMATIVA DE HORAS TÉCNICAS'!F$941+'ESTIMATIVA DE HORAS TÉCNICAS'!I802*'ESTIMATIVA DE HORAS TÉCNICAS'!F$945+'ESTIMATIVA DE HORAS TÉCNICAS'!J802*'ESTIMATIVA DE HORAS TÉCNICAS'!F$946+'ESTIMATIVA DE HORAS TÉCNICAS'!K802*'ESTIMATIVA DE HORAS TÉCNICAS'!$F$944+'ESTIMATIVA DE HORAS TÉCNICAS'!L802*'ESTIMATIVA DE HORAS TÉCNICAS'!F$951+'ESTIMATIVA DE HORAS TÉCNICAS'!M802*'ESTIMATIVA DE HORAS TÉCNICAS'!F$950+'ESTIMATIVA DE HORAS TÉCNICAS'!N802*'ESTIMATIVA DE HORAS TÉCNICAS'!F$949+'ESTIMATIVA DE HORAS TÉCNICAS'!O802*'ESTIMATIVA DE HORAS TÉCNICAS'!F$948+'ESTIMATIVA DE HORAS TÉCNICAS'!P802*'ESTIMATIVA DE HORAS TÉCNICAS'!$F$947+'ESTIMATIVA DE HORAS TÉCNICAS'!Q802*'ESTIMATIVA DE HORAS TÉCNICAS'!F$953+'ESTIMATIVA DE HORAS TÉCNICAS'!R802*'ESTIMATIVA DE HORAS TÉCNICAS'!F$954</f>
        <v>1716.7500210121557</v>
      </c>
      <c r="E794" s="411">
        <f>'CALCULO DO FATO K'!D$10</f>
        <v>2.3175723620309046</v>
      </c>
      <c r="F794" s="714"/>
      <c r="G794" s="714"/>
      <c r="H794" s="411">
        <f t="shared" si="53"/>
        <v>3978.6924012137465</v>
      </c>
      <c r="I794" s="416">
        <f>SUM(H787:H794)</f>
        <v>86932.3413322501</v>
      </c>
      <c r="J794" s="767"/>
    </row>
    <row r="795" spans="1:10" s="532" customFormat="1" ht="15.75">
      <c r="A795" s="426"/>
      <c r="B795" s="768"/>
      <c r="C795" s="410"/>
      <c r="D795" s="787"/>
      <c r="E795" s="411"/>
      <c r="F795" s="714"/>
      <c r="G795" s="714"/>
      <c r="H795" s="411"/>
      <c r="I795" s="416"/>
      <c r="J795" s="767"/>
    </row>
    <row r="796" spans="1:10" s="318" customFormat="1" ht="15.75">
      <c r="A796" s="426"/>
      <c r="B796" s="768"/>
      <c r="C796" s="409"/>
      <c r="D796" s="787"/>
      <c r="E796" s="411"/>
      <c r="F796" s="714"/>
      <c r="G796" s="714"/>
      <c r="H796" s="411"/>
      <c r="I796" s="416"/>
      <c r="J796" s="767"/>
    </row>
    <row r="797" spans="1:10" ht="15.75">
      <c r="A797" s="391" t="s">
        <v>762</v>
      </c>
      <c r="B797" s="427" t="s">
        <v>238</v>
      </c>
      <c r="C797" s="474"/>
      <c r="D797" s="796"/>
      <c r="E797" s="480"/>
      <c r="F797" s="475"/>
      <c r="G797" s="475"/>
      <c r="H797" s="475"/>
      <c r="I797" s="476"/>
      <c r="J797" s="767"/>
    </row>
    <row r="798" spans="1:10" ht="15.75">
      <c r="A798" s="426" t="s">
        <v>763</v>
      </c>
      <c r="B798" s="428" t="s">
        <v>326</v>
      </c>
      <c r="C798" s="409"/>
      <c r="D798" s="787">
        <f>'ESTIMATIVA DE HORAS TÉCNICAS'!F806*'ESTIMATIVA DE HORAS TÉCNICAS'!F$943+'ESTIMATIVA DE HORAS TÉCNICAS'!G806*'ESTIMATIVA DE HORAS TÉCNICAS'!F$942+'ESTIMATIVA DE HORAS TÉCNICAS'!H806*'ESTIMATIVA DE HORAS TÉCNICAS'!F$941+'ESTIMATIVA DE HORAS TÉCNICAS'!I806*'ESTIMATIVA DE HORAS TÉCNICAS'!F$945+'ESTIMATIVA DE HORAS TÉCNICAS'!J806*'ESTIMATIVA DE HORAS TÉCNICAS'!F$946+'ESTIMATIVA DE HORAS TÉCNICAS'!K806*'ESTIMATIVA DE HORAS TÉCNICAS'!$F$944+'ESTIMATIVA DE HORAS TÉCNICAS'!L806*'ESTIMATIVA DE HORAS TÉCNICAS'!F$951+'ESTIMATIVA DE HORAS TÉCNICAS'!M806*'ESTIMATIVA DE HORAS TÉCNICAS'!F$950+'ESTIMATIVA DE HORAS TÉCNICAS'!N806*'ESTIMATIVA DE HORAS TÉCNICAS'!F$949+'ESTIMATIVA DE HORAS TÉCNICAS'!O806*'ESTIMATIVA DE HORAS TÉCNICAS'!F$948+'ESTIMATIVA DE HORAS TÉCNICAS'!P806*'ESTIMATIVA DE HORAS TÉCNICAS'!$F$947+'ESTIMATIVA DE HORAS TÉCNICAS'!Q806*'ESTIMATIVA DE HORAS TÉCNICAS'!F$953+'ESTIMATIVA DE HORAS TÉCNICAS'!R806*'ESTIMATIVA DE HORAS TÉCNICAS'!F$954</f>
        <v>7500.8534717333987</v>
      </c>
      <c r="E798" s="411">
        <f>'CALCULO DO FATO K'!D$10</f>
        <v>2.3175723620309046</v>
      </c>
      <c r="F798" s="714"/>
      <c r="G798" s="714"/>
      <c r="H798" s="411">
        <f>D798*E798</f>
        <v>17383.770697732885</v>
      </c>
      <c r="I798" s="416"/>
      <c r="J798" s="767"/>
    </row>
    <row r="799" spans="1:10" ht="15.75">
      <c r="A799" s="426" t="s">
        <v>764</v>
      </c>
      <c r="B799" s="428" t="s">
        <v>135</v>
      </c>
      <c r="C799" s="409"/>
      <c r="D799" s="787">
        <f>'ESTIMATIVA DE HORAS TÉCNICAS'!F807*'ESTIMATIVA DE HORAS TÉCNICAS'!F$943+'ESTIMATIVA DE HORAS TÉCNICAS'!G807*'ESTIMATIVA DE HORAS TÉCNICAS'!F$942+'ESTIMATIVA DE HORAS TÉCNICAS'!H807*'ESTIMATIVA DE HORAS TÉCNICAS'!F$941+'ESTIMATIVA DE HORAS TÉCNICAS'!I807*'ESTIMATIVA DE HORAS TÉCNICAS'!F$945+'ESTIMATIVA DE HORAS TÉCNICAS'!J807*'ESTIMATIVA DE HORAS TÉCNICAS'!F$946+'ESTIMATIVA DE HORAS TÉCNICAS'!K807*'ESTIMATIVA DE HORAS TÉCNICAS'!$F$944+'ESTIMATIVA DE HORAS TÉCNICAS'!L807*'ESTIMATIVA DE HORAS TÉCNICAS'!F$951+'ESTIMATIVA DE HORAS TÉCNICAS'!M807*'ESTIMATIVA DE HORAS TÉCNICAS'!F$950+'ESTIMATIVA DE HORAS TÉCNICAS'!N807*'ESTIMATIVA DE HORAS TÉCNICAS'!F$949+'ESTIMATIVA DE HORAS TÉCNICAS'!O807*'ESTIMATIVA DE HORAS TÉCNICAS'!F$948+'ESTIMATIVA DE HORAS TÉCNICAS'!P807*'ESTIMATIVA DE HORAS TÉCNICAS'!$F$947+'ESTIMATIVA DE HORAS TÉCNICAS'!Q807*'ESTIMATIVA DE HORAS TÉCNICAS'!F$953+'ESTIMATIVA DE HORAS TÉCNICAS'!R807*'ESTIMATIVA DE HORAS TÉCNICAS'!F$954</f>
        <v>6336.8733150877797</v>
      </c>
      <c r="E799" s="411">
        <f>'CALCULO DO FATO K'!D$10</f>
        <v>2.3175723620309046</v>
      </c>
      <c r="F799" s="714"/>
      <c r="G799" s="714"/>
      <c r="H799" s="411">
        <f t="shared" ref="H799:H805" si="54">D799*E799</f>
        <v>14686.162456738593</v>
      </c>
      <c r="I799" s="416"/>
      <c r="J799" s="767"/>
    </row>
    <row r="800" spans="1:10" ht="15.75">
      <c r="A800" s="426" t="s">
        <v>765</v>
      </c>
      <c r="B800" s="428" t="s">
        <v>112</v>
      </c>
      <c r="C800" s="409"/>
      <c r="D800" s="787">
        <f>'ESTIMATIVA DE HORAS TÉCNICAS'!F808*'ESTIMATIVA DE HORAS TÉCNICAS'!F$943+'ESTIMATIVA DE HORAS TÉCNICAS'!G808*'ESTIMATIVA DE HORAS TÉCNICAS'!F$942+'ESTIMATIVA DE HORAS TÉCNICAS'!H808*'ESTIMATIVA DE HORAS TÉCNICAS'!F$941+'ESTIMATIVA DE HORAS TÉCNICAS'!I808*'ESTIMATIVA DE HORAS TÉCNICAS'!F$945+'ESTIMATIVA DE HORAS TÉCNICAS'!J808*'ESTIMATIVA DE HORAS TÉCNICAS'!F$946+'ESTIMATIVA DE HORAS TÉCNICAS'!K808*'ESTIMATIVA DE HORAS TÉCNICAS'!$F$944+'ESTIMATIVA DE HORAS TÉCNICAS'!L808*'ESTIMATIVA DE HORAS TÉCNICAS'!F$951+'ESTIMATIVA DE HORAS TÉCNICAS'!M808*'ESTIMATIVA DE HORAS TÉCNICAS'!F$950+'ESTIMATIVA DE HORAS TÉCNICAS'!N808*'ESTIMATIVA DE HORAS TÉCNICAS'!F$949+'ESTIMATIVA DE HORAS TÉCNICAS'!O808*'ESTIMATIVA DE HORAS TÉCNICAS'!F$948+'ESTIMATIVA DE HORAS TÉCNICAS'!P808*'ESTIMATIVA DE HORAS TÉCNICAS'!$F$947+'ESTIMATIVA DE HORAS TÉCNICAS'!Q808*'ESTIMATIVA DE HORAS TÉCNICAS'!F$953+'ESTIMATIVA DE HORAS TÉCNICAS'!R808*'ESTIMATIVA DE HORAS TÉCNICAS'!F$954</f>
        <v>6612.6034717333987</v>
      </c>
      <c r="E800" s="411">
        <f>'CALCULO DO FATO K'!D$10</f>
        <v>2.3175723620309046</v>
      </c>
      <c r="F800" s="714"/>
      <c r="G800" s="714"/>
      <c r="H800" s="411">
        <f t="shared" si="54"/>
        <v>15325.187047158932</v>
      </c>
      <c r="I800" s="416"/>
      <c r="J800" s="767"/>
    </row>
    <row r="801" spans="1:10" ht="15.75">
      <c r="A801" s="426" t="s">
        <v>766</v>
      </c>
      <c r="B801" s="428" t="s">
        <v>152</v>
      </c>
      <c r="C801" s="409"/>
      <c r="D801" s="787">
        <f>'ESTIMATIVA DE HORAS TÉCNICAS'!F809*'ESTIMATIVA DE HORAS TÉCNICAS'!F$943+'ESTIMATIVA DE HORAS TÉCNICAS'!G809*'ESTIMATIVA DE HORAS TÉCNICAS'!F$942+'ESTIMATIVA DE HORAS TÉCNICAS'!H809*'ESTIMATIVA DE HORAS TÉCNICAS'!F$941+'ESTIMATIVA DE HORAS TÉCNICAS'!I809*'ESTIMATIVA DE HORAS TÉCNICAS'!F$945+'ESTIMATIVA DE HORAS TÉCNICAS'!J809*'ESTIMATIVA DE HORAS TÉCNICAS'!F$946+'ESTIMATIVA DE HORAS TÉCNICAS'!K809*'ESTIMATIVA DE HORAS TÉCNICAS'!$F$944+'ESTIMATIVA DE HORAS TÉCNICAS'!L809*'ESTIMATIVA DE HORAS TÉCNICAS'!F$951+'ESTIMATIVA DE HORAS TÉCNICAS'!M809*'ESTIMATIVA DE HORAS TÉCNICAS'!F$950+'ESTIMATIVA DE HORAS TÉCNICAS'!N809*'ESTIMATIVA DE HORAS TÉCNICAS'!F$949+'ESTIMATIVA DE HORAS TÉCNICAS'!O809*'ESTIMATIVA DE HORAS TÉCNICAS'!F$948+'ESTIMATIVA DE HORAS TÉCNICAS'!P809*'ESTIMATIVA DE HORAS TÉCNICAS'!$F$947+'ESTIMATIVA DE HORAS TÉCNICAS'!Q809*'ESTIMATIVA DE HORAS TÉCNICAS'!F$953+'ESTIMATIVA DE HORAS TÉCNICAS'!R809*'ESTIMATIVA DE HORAS TÉCNICAS'!F$954</f>
        <v>1738.5435293067039</v>
      </c>
      <c r="E801" s="411">
        <f>'CALCULO DO FATO K'!D$10</f>
        <v>2.3175723620309046</v>
      </c>
      <c r="F801" s="714"/>
      <c r="G801" s="714"/>
      <c r="H801" s="411">
        <f t="shared" si="54"/>
        <v>4029.2004337088829</v>
      </c>
      <c r="I801" s="416"/>
      <c r="J801" s="767"/>
    </row>
    <row r="802" spans="1:10" ht="15.75">
      <c r="A802" s="426" t="s">
        <v>767</v>
      </c>
      <c r="B802" s="428" t="s">
        <v>105</v>
      </c>
      <c r="C802" s="409"/>
      <c r="D802" s="787">
        <f>'ESTIMATIVA DE HORAS TÉCNICAS'!F810*'ESTIMATIVA DE HORAS TÉCNICAS'!F$943+'ESTIMATIVA DE HORAS TÉCNICAS'!G810*'ESTIMATIVA DE HORAS TÉCNICAS'!F$942+'ESTIMATIVA DE HORAS TÉCNICAS'!H810*'ESTIMATIVA DE HORAS TÉCNICAS'!F$941+'ESTIMATIVA DE HORAS TÉCNICAS'!I810*'ESTIMATIVA DE HORAS TÉCNICAS'!F$945+'ESTIMATIVA DE HORAS TÉCNICAS'!J810*'ESTIMATIVA DE HORAS TÉCNICAS'!F$946+'ESTIMATIVA DE HORAS TÉCNICAS'!K810*'ESTIMATIVA DE HORAS TÉCNICAS'!$F$944+'ESTIMATIVA DE HORAS TÉCNICAS'!L810*'ESTIMATIVA DE HORAS TÉCNICAS'!F$951+'ESTIMATIVA DE HORAS TÉCNICAS'!M810*'ESTIMATIVA DE HORAS TÉCNICAS'!F$950+'ESTIMATIVA DE HORAS TÉCNICAS'!N810*'ESTIMATIVA DE HORAS TÉCNICAS'!F$949+'ESTIMATIVA DE HORAS TÉCNICAS'!O810*'ESTIMATIVA DE HORAS TÉCNICAS'!F$948+'ESTIMATIVA DE HORAS TÉCNICAS'!P810*'ESTIMATIVA DE HORAS TÉCNICAS'!$F$947+'ESTIMATIVA DE HORAS TÉCNICAS'!Q810*'ESTIMATIVA DE HORAS TÉCNICAS'!F$953+'ESTIMATIVA DE HORAS TÉCNICAS'!R810*'ESTIMATIVA DE HORAS TÉCNICAS'!F$954</f>
        <v>7367.800426546758</v>
      </c>
      <c r="E802" s="411">
        <f>'CALCULO DO FATO K'!D$10</f>
        <v>2.3175723620309046</v>
      </c>
      <c r="F802" s="714"/>
      <c r="G802" s="714"/>
      <c r="H802" s="411">
        <f t="shared" si="54"/>
        <v>17075.410637524277</v>
      </c>
      <c r="I802" s="416"/>
      <c r="J802" s="767"/>
    </row>
    <row r="803" spans="1:10" ht="15.75">
      <c r="A803" s="426" t="s">
        <v>768</v>
      </c>
      <c r="B803" s="428" t="s">
        <v>595</v>
      </c>
      <c r="C803" s="409"/>
      <c r="D803" s="787">
        <f>'ESTIMATIVA DE HORAS TÉCNICAS'!F811*'ESTIMATIVA DE HORAS TÉCNICAS'!F$943+'ESTIMATIVA DE HORAS TÉCNICAS'!G811*'ESTIMATIVA DE HORAS TÉCNICAS'!F$942+'ESTIMATIVA DE HORAS TÉCNICAS'!H811*'ESTIMATIVA DE HORAS TÉCNICAS'!F$941+'ESTIMATIVA DE HORAS TÉCNICAS'!I811*'ESTIMATIVA DE HORAS TÉCNICAS'!F$945+'ESTIMATIVA DE HORAS TÉCNICAS'!J811*'ESTIMATIVA DE HORAS TÉCNICAS'!F$946+'ESTIMATIVA DE HORAS TÉCNICAS'!K811*'ESTIMATIVA DE HORAS TÉCNICAS'!$F$944+'ESTIMATIVA DE HORAS TÉCNICAS'!L811*'ESTIMATIVA DE HORAS TÉCNICAS'!F$951+'ESTIMATIVA DE HORAS TÉCNICAS'!M811*'ESTIMATIVA DE HORAS TÉCNICAS'!F$950+'ESTIMATIVA DE HORAS TÉCNICAS'!N811*'ESTIMATIVA DE HORAS TÉCNICAS'!F$949+'ESTIMATIVA DE HORAS TÉCNICAS'!O811*'ESTIMATIVA DE HORAS TÉCNICAS'!F$948+'ESTIMATIVA DE HORAS TÉCNICAS'!P811*'ESTIMATIVA DE HORAS TÉCNICAS'!$F$947+'ESTIMATIVA DE HORAS TÉCNICAS'!Q811*'ESTIMATIVA DE HORAS TÉCNICAS'!F$953+'ESTIMATIVA DE HORAS TÉCNICAS'!R811*'ESTIMATIVA DE HORAS TÉCNICAS'!F$954</f>
        <v>7666.6336425622239</v>
      </c>
      <c r="E803" s="411">
        <f>'CALCULO DO FATO K'!D$10</f>
        <v>2.3175723620309046</v>
      </c>
      <c r="F803" s="714"/>
      <c r="G803" s="714"/>
      <c r="H803" s="411">
        <f t="shared" si="54"/>
        <v>17767.978239818531</v>
      </c>
      <c r="I803" s="416"/>
      <c r="J803" s="767"/>
    </row>
    <row r="804" spans="1:10" ht="15.75">
      <c r="A804" s="426" t="s">
        <v>769</v>
      </c>
      <c r="B804" s="768" t="s">
        <v>597</v>
      </c>
      <c r="C804" s="410"/>
      <c r="D804" s="787">
        <f>'ESTIMATIVA DE HORAS TÉCNICAS'!F812*'ESTIMATIVA DE HORAS TÉCNICAS'!F$943+'ESTIMATIVA DE HORAS TÉCNICAS'!G812*'ESTIMATIVA DE HORAS TÉCNICAS'!F$942+'ESTIMATIVA DE HORAS TÉCNICAS'!H812*'ESTIMATIVA DE HORAS TÉCNICAS'!F$941+'ESTIMATIVA DE HORAS TÉCNICAS'!I812*'ESTIMATIVA DE HORAS TÉCNICAS'!F$945+'ESTIMATIVA DE HORAS TÉCNICAS'!J812*'ESTIMATIVA DE HORAS TÉCNICAS'!F$946+'ESTIMATIVA DE HORAS TÉCNICAS'!K812*'ESTIMATIVA DE HORAS TÉCNICAS'!$F$944+'ESTIMATIVA DE HORAS TÉCNICAS'!L812*'ESTIMATIVA DE HORAS TÉCNICAS'!F$951+'ESTIMATIVA DE HORAS TÉCNICAS'!M812*'ESTIMATIVA DE HORAS TÉCNICAS'!F$950+'ESTIMATIVA DE HORAS TÉCNICAS'!N812*'ESTIMATIVA DE HORAS TÉCNICAS'!F$949+'ESTIMATIVA DE HORAS TÉCNICAS'!O812*'ESTIMATIVA DE HORAS TÉCNICAS'!F$948+'ESTIMATIVA DE HORAS TÉCNICAS'!P812*'ESTIMATIVA DE HORAS TÉCNICAS'!$F$947+'ESTIMATIVA DE HORAS TÉCNICAS'!Q812*'ESTIMATIVA DE HORAS TÉCNICAS'!F$953+'ESTIMATIVA DE HORAS TÉCNICAS'!R812*'ESTIMATIVA DE HORAS TÉCNICAS'!F$954</f>
        <v>441.51032747444401</v>
      </c>
      <c r="E804" s="411">
        <f>'CALCULO DO FATO K'!D$10</f>
        <v>2.3175723620309046</v>
      </c>
      <c r="F804" s="714"/>
      <c r="G804" s="714"/>
      <c r="H804" s="411">
        <f t="shared" si="54"/>
        <v>1023.2321325059854</v>
      </c>
      <c r="I804" s="416"/>
      <c r="J804" s="767"/>
    </row>
    <row r="805" spans="1:10" ht="15.75">
      <c r="A805" s="426" t="s">
        <v>770</v>
      </c>
      <c r="B805" s="768" t="s">
        <v>150</v>
      </c>
      <c r="C805" s="410"/>
      <c r="D805" s="787">
        <f>'ESTIMATIVA DE HORAS TÉCNICAS'!F813*'ESTIMATIVA DE HORAS TÉCNICAS'!F$943+'ESTIMATIVA DE HORAS TÉCNICAS'!G813*'ESTIMATIVA DE HORAS TÉCNICAS'!F$942+'ESTIMATIVA DE HORAS TÉCNICAS'!H813*'ESTIMATIVA DE HORAS TÉCNICAS'!F$941+'ESTIMATIVA DE HORAS TÉCNICAS'!I813*'ESTIMATIVA DE HORAS TÉCNICAS'!F$945+'ESTIMATIVA DE HORAS TÉCNICAS'!J813*'ESTIMATIVA DE HORAS TÉCNICAS'!F$946+'ESTIMATIVA DE HORAS TÉCNICAS'!K813*'ESTIMATIVA DE HORAS TÉCNICAS'!$F$944+'ESTIMATIVA DE HORAS TÉCNICAS'!L813*'ESTIMATIVA DE HORAS TÉCNICAS'!F$951+'ESTIMATIVA DE HORAS TÉCNICAS'!M813*'ESTIMATIVA DE HORAS TÉCNICAS'!F$950+'ESTIMATIVA DE HORAS TÉCNICAS'!N813*'ESTIMATIVA DE HORAS TÉCNICAS'!F$949+'ESTIMATIVA DE HORAS TÉCNICAS'!O813*'ESTIMATIVA DE HORAS TÉCNICAS'!F$948+'ESTIMATIVA DE HORAS TÉCNICAS'!P813*'ESTIMATIVA DE HORAS TÉCNICAS'!$F$947+'ESTIMATIVA DE HORAS TÉCNICAS'!Q813*'ESTIMATIVA DE HORAS TÉCNICAS'!F$953+'ESTIMATIVA DE HORAS TÉCNICAS'!R813*'ESTIMATIVA DE HORAS TÉCNICAS'!F$954</f>
        <v>1605.4904841200635</v>
      </c>
      <c r="E805" s="411">
        <f>'CALCULO DO FATO K'!D$10</f>
        <v>2.3175723620309046</v>
      </c>
      <c r="F805" s="714"/>
      <c r="G805" s="714"/>
      <c r="H805" s="411">
        <f t="shared" si="54"/>
        <v>3720.8403735002757</v>
      </c>
      <c r="I805" s="416">
        <f>SUM(H798:H805)</f>
        <v>91011.782018688376</v>
      </c>
      <c r="J805" s="767"/>
    </row>
    <row r="806" spans="1:10" s="532" customFormat="1" ht="15.75">
      <c r="A806" s="426"/>
      <c r="B806" s="768"/>
      <c r="C806" s="410"/>
      <c r="D806" s="787"/>
      <c r="E806" s="411"/>
      <c r="F806" s="714"/>
      <c r="G806" s="714"/>
      <c r="H806" s="411"/>
      <c r="I806" s="416"/>
      <c r="J806" s="767"/>
    </row>
    <row r="807" spans="1:10" s="318" customFormat="1" ht="15.75">
      <c r="A807" s="426"/>
      <c r="B807" s="768"/>
      <c r="C807" s="409"/>
      <c r="D807" s="787"/>
      <c r="E807" s="411"/>
      <c r="F807" s="714"/>
      <c r="G807" s="714"/>
      <c r="H807" s="411"/>
      <c r="I807" s="416"/>
      <c r="J807" s="767"/>
    </row>
    <row r="808" spans="1:10" ht="15.75">
      <c r="A808" s="391" t="s">
        <v>771</v>
      </c>
      <c r="B808" s="427" t="s">
        <v>243</v>
      </c>
      <c r="C808" s="474"/>
      <c r="D808" s="796"/>
      <c r="E808" s="475"/>
      <c r="F808" s="475"/>
      <c r="G808" s="475"/>
      <c r="H808" s="475"/>
      <c r="I808" s="476"/>
      <c r="J808" s="767"/>
    </row>
    <row r="809" spans="1:10" ht="15.75">
      <c r="A809" s="426" t="s">
        <v>772</v>
      </c>
      <c r="B809" s="428" t="s">
        <v>326</v>
      </c>
      <c r="C809" s="409"/>
      <c r="D809" s="787">
        <f>'ESTIMATIVA DE HORAS TÉCNICAS'!F817*'ESTIMATIVA DE HORAS TÉCNICAS'!F$943+'ESTIMATIVA DE HORAS TÉCNICAS'!G817*'ESTIMATIVA DE HORAS TÉCNICAS'!F$942+'ESTIMATIVA DE HORAS TÉCNICAS'!H817*'ESTIMATIVA DE HORAS TÉCNICAS'!F$941+'ESTIMATIVA DE HORAS TÉCNICAS'!I817*'ESTIMATIVA DE HORAS TÉCNICAS'!F$945+'ESTIMATIVA DE HORAS TÉCNICAS'!J817*'ESTIMATIVA DE HORAS TÉCNICAS'!F$946+'ESTIMATIVA DE HORAS TÉCNICAS'!K817*'ESTIMATIVA DE HORAS TÉCNICAS'!$F$944+'ESTIMATIVA DE HORAS TÉCNICAS'!L817*'ESTIMATIVA DE HORAS TÉCNICAS'!F$951+'ESTIMATIVA DE HORAS TÉCNICAS'!M817*'ESTIMATIVA DE HORAS TÉCNICAS'!F$950+'ESTIMATIVA DE HORAS TÉCNICAS'!N817*'ESTIMATIVA DE HORAS TÉCNICAS'!F$949+'ESTIMATIVA DE HORAS TÉCNICAS'!O817*'ESTIMATIVA DE HORAS TÉCNICAS'!F$948+'ESTIMATIVA DE HORAS TÉCNICAS'!P817*'ESTIMATIVA DE HORAS TÉCNICAS'!$F$947+'ESTIMATIVA DE HORAS TÉCNICAS'!Q817*'ESTIMATIVA DE HORAS TÉCNICAS'!F$953+'ESTIMATIVA DE HORAS TÉCNICAS'!R817*'ESTIMATIVA DE HORAS TÉCNICAS'!F$954</f>
        <v>1278.5280564806742</v>
      </c>
      <c r="E809" s="411">
        <f>'CALCULO DO FATO K'!D$10</f>
        <v>2.3175723620309046</v>
      </c>
      <c r="F809" s="714"/>
      <c r="G809" s="714"/>
      <c r="H809" s="411">
        <f>D809*E809</f>
        <v>2963.0812877806979</v>
      </c>
      <c r="I809" s="416"/>
      <c r="J809" s="767"/>
    </row>
    <row r="810" spans="1:10" ht="15.75">
      <c r="A810" s="426" t="s">
        <v>773</v>
      </c>
      <c r="B810" s="428" t="s">
        <v>135</v>
      </c>
      <c r="C810" s="409"/>
      <c r="D810" s="787">
        <f>'ESTIMATIVA DE HORAS TÉCNICAS'!F818*'ESTIMATIVA DE HORAS TÉCNICAS'!F$943+'ESTIMATIVA DE HORAS TÉCNICAS'!G818*'ESTIMATIVA DE HORAS TÉCNICAS'!F$942+'ESTIMATIVA DE HORAS TÉCNICAS'!H818*'ESTIMATIVA DE HORAS TÉCNICAS'!F$941+'ESTIMATIVA DE HORAS TÉCNICAS'!I818*'ESTIMATIVA DE HORAS TÉCNICAS'!F$945+'ESTIMATIVA DE HORAS TÉCNICAS'!J818*'ESTIMATIVA DE HORAS TÉCNICAS'!F$946+'ESTIMATIVA DE HORAS TÉCNICAS'!K818*'ESTIMATIVA DE HORAS TÉCNICAS'!$F$944+'ESTIMATIVA DE HORAS TÉCNICAS'!L818*'ESTIMATIVA DE HORAS TÉCNICAS'!F$951+'ESTIMATIVA DE HORAS TÉCNICAS'!M818*'ESTIMATIVA DE HORAS TÉCNICAS'!F$950+'ESTIMATIVA DE HORAS TÉCNICAS'!N818*'ESTIMATIVA DE HORAS TÉCNICAS'!F$949+'ESTIMATIVA DE HORAS TÉCNICAS'!O818*'ESTIMATIVA DE HORAS TÉCNICAS'!F$948+'ESTIMATIVA DE HORAS TÉCNICAS'!P818*'ESTIMATIVA DE HORAS TÉCNICAS'!$F$947+'ESTIMATIVA DE HORAS TÉCNICAS'!Q818*'ESTIMATIVA DE HORAS TÉCNICAS'!F$953+'ESTIMATIVA DE HORAS TÉCNICAS'!R818*'ESTIMATIVA DE HORAS TÉCNICAS'!F$954</f>
        <v>1388.1558996879694</v>
      </c>
      <c r="E810" s="411">
        <f>'CALCULO DO FATO K'!D$10</f>
        <v>2.3175723620309046</v>
      </c>
      <c r="F810" s="714"/>
      <c r="G810" s="714"/>
      <c r="H810" s="411">
        <f t="shared" ref="H810:H816" si="55">D810*E810</f>
        <v>3217.1517473069825</v>
      </c>
      <c r="I810" s="416"/>
      <c r="J810" s="767"/>
    </row>
    <row r="811" spans="1:10" ht="15.75">
      <c r="A811" s="426" t="s">
        <v>774</v>
      </c>
      <c r="B811" s="428" t="s">
        <v>112</v>
      </c>
      <c r="C811" s="409"/>
      <c r="D811" s="787">
        <f>'ESTIMATIVA DE HORAS TÉCNICAS'!F819*'ESTIMATIVA DE HORAS TÉCNICAS'!F$943+'ESTIMATIVA DE HORAS TÉCNICAS'!G819*'ESTIMATIVA DE HORAS TÉCNICAS'!F$942+'ESTIMATIVA DE HORAS TÉCNICAS'!H819*'ESTIMATIVA DE HORAS TÉCNICAS'!F$941+'ESTIMATIVA DE HORAS TÉCNICAS'!I819*'ESTIMATIVA DE HORAS TÉCNICAS'!F$945+'ESTIMATIVA DE HORAS TÉCNICAS'!J819*'ESTIMATIVA DE HORAS TÉCNICAS'!F$946+'ESTIMATIVA DE HORAS TÉCNICAS'!K819*'ESTIMATIVA DE HORAS TÉCNICAS'!$F$944+'ESTIMATIVA DE HORAS TÉCNICAS'!L819*'ESTIMATIVA DE HORAS TÉCNICAS'!F$951+'ESTIMATIVA DE HORAS TÉCNICAS'!M819*'ESTIMATIVA DE HORAS TÉCNICAS'!F$950+'ESTIMATIVA DE HORAS TÉCNICAS'!N819*'ESTIMATIVA DE HORAS TÉCNICAS'!F$949+'ESTIMATIVA DE HORAS TÉCNICAS'!O819*'ESTIMATIVA DE HORAS TÉCNICAS'!F$948+'ESTIMATIVA DE HORAS TÉCNICAS'!P819*'ESTIMATIVA DE HORAS TÉCNICAS'!$F$947+'ESTIMATIVA DE HORAS TÉCNICAS'!Q819*'ESTIMATIVA DE HORAS TÉCNICAS'!F$953+'ESTIMATIVA DE HORAS TÉCNICAS'!R819*'ESTIMATIVA DE HORAS TÉCNICAS'!F$954</f>
        <v>774.14691699147954</v>
      </c>
      <c r="E811" s="411">
        <f>'CALCULO DO FATO K'!D$10</f>
        <v>2.3175723620309046</v>
      </c>
      <c r="F811" s="714"/>
      <c r="G811" s="714"/>
      <c r="H811" s="411">
        <f t="shared" si="55"/>
        <v>1794.1414989708858</v>
      </c>
      <c r="I811" s="416"/>
      <c r="J811" s="767"/>
    </row>
    <row r="812" spans="1:10" ht="15.75">
      <c r="A812" s="426" t="s">
        <v>775</v>
      </c>
      <c r="B812" s="428" t="s">
        <v>152</v>
      </c>
      <c r="C812" s="409"/>
      <c r="D812" s="787">
        <f>'ESTIMATIVA DE HORAS TÉCNICAS'!F820*'ESTIMATIVA DE HORAS TÉCNICAS'!F$943+'ESTIMATIVA DE HORAS TÉCNICAS'!G820*'ESTIMATIVA DE HORAS TÉCNICAS'!F$942+'ESTIMATIVA DE HORAS TÉCNICAS'!H820*'ESTIMATIVA DE HORAS TÉCNICAS'!F$941+'ESTIMATIVA DE HORAS TÉCNICAS'!I820*'ESTIMATIVA DE HORAS TÉCNICAS'!F$945+'ESTIMATIVA DE HORAS TÉCNICAS'!J820*'ESTIMATIVA DE HORAS TÉCNICAS'!F$946+'ESTIMATIVA DE HORAS TÉCNICAS'!K820*'ESTIMATIVA DE HORAS TÉCNICAS'!$F$944+'ESTIMATIVA DE HORAS TÉCNICAS'!L820*'ESTIMATIVA DE HORAS TÉCNICAS'!F$951+'ESTIMATIVA DE HORAS TÉCNICAS'!M820*'ESTIMATIVA DE HORAS TÉCNICAS'!F$950+'ESTIMATIVA DE HORAS TÉCNICAS'!N820*'ESTIMATIVA DE HORAS TÉCNICAS'!F$949+'ESTIMATIVA DE HORAS TÉCNICAS'!O820*'ESTIMATIVA DE HORAS TÉCNICAS'!F$948+'ESTIMATIVA DE HORAS TÉCNICAS'!P820*'ESTIMATIVA DE HORAS TÉCNICAS'!$F$947+'ESTIMATIVA DE HORAS TÉCNICAS'!Q820*'ESTIMATIVA DE HORAS TÉCNICAS'!F$953+'ESTIMATIVA DE HORAS TÉCNICAS'!R820*'ESTIMATIVA DE HORAS TÉCNICAS'!F$954</f>
        <v>1057.5280564806742</v>
      </c>
      <c r="E812" s="411">
        <f>'CALCULO DO FATO K'!D$10</f>
        <v>2.3175723620309046</v>
      </c>
      <c r="F812" s="714"/>
      <c r="G812" s="714"/>
      <c r="H812" s="411">
        <f t="shared" si="55"/>
        <v>2450.897795771868</v>
      </c>
      <c r="I812" s="416"/>
      <c r="J812" s="767"/>
    </row>
    <row r="813" spans="1:10" ht="15.75">
      <c r="A813" s="426" t="s">
        <v>776</v>
      </c>
      <c r="B813" s="428" t="s">
        <v>105</v>
      </c>
      <c r="C813" s="409"/>
      <c r="D813" s="787">
        <f>'ESTIMATIVA DE HORAS TÉCNICAS'!F821*'ESTIMATIVA DE HORAS TÉCNICAS'!F$943+'ESTIMATIVA DE HORAS TÉCNICAS'!G821*'ESTIMATIVA DE HORAS TÉCNICAS'!F$942+'ESTIMATIVA DE HORAS TÉCNICAS'!H821*'ESTIMATIVA DE HORAS TÉCNICAS'!F$941+'ESTIMATIVA DE HORAS TÉCNICAS'!I821*'ESTIMATIVA DE HORAS TÉCNICAS'!F$945+'ESTIMATIVA DE HORAS TÉCNICAS'!J821*'ESTIMATIVA DE HORAS TÉCNICAS'!F$946+'ESTIMATIVA DE HORAS TÉCNICAS'!K821*'ESTIMATIVA DE HORAS TÉCNICAS'!$F$944+'ESTIMATIVA DE HORAS TÉCNICAS'!L821*'ESTIMATIVA DE HORAS TÉCNICAS'!F$951+'ESTIMATIVA DE HORAS TÉCNICAS'!M821*'ESTIMATIVA DE HORAS TÉCNICAS'!F$950+'ESTIMATIVA DE HORAS TÉCNICAS'!N821*'ESTIMATIVA DE HORAS TÉCNICAS'!F$949+'ESTIMATIVA DE HORAS TÉCNICAS'!O821*'ESTIMATIVA DE HORAS TÉCNICAS'!F$948+'ESTIMATIVA DE HORAS TÉCNICAS'!P821*'ESTIMATIVA DE HORAS TÉCNICAS'!$F$947+'ESTIMATIVA DE HORAS TÉCNICAS'!Q821*'ESTIMATIVA DE HORAS TÉCNICAS'!F$953+'ESTIMATIVA DE HORAS TÉCNICAS'!R821*'ESTIMATIVA DE HORAS TÉCNICAS'!F$954</f>
        <v>2154.8576689114657</v>
      </c>
      <c r="E813" s="411">
        <f>'CALCULO DO FATO K'!D$10</f>
        <v>2.3175723620309046</v>
      </c>
      <c r="F813" s="714"/>
      <c r="G813" s="714"/>
      <c r="H813" s="411">
        <f t="shared" si="55"/>
        <v>4994.0385775795548</v>
      </c>
      <c r="I813" s="416"/>
      <c r="J813" s="767"/>
    </row>
    <row r="814" spans="1:10" ht="15.75">
      <c r="A814" s="426" t="s">
        <v>777</v>
      </c>
      <c r="B814" s="428" t="s">
        <v>595</v>
      </c>
      <c r="C814" s="409"/>
      <c r="D814" s="787">
        <f>'ESTIMATIVA DE HORAS TÉCNICAS'!F822*'ESTIMATIVA DE HORAS TÉCNICAS'!F$943+'ESTIMATIVA DE HORAS TÉCNICAS'!G822*'ESTIMATIVA DE HORAS TÉCNICAS'!F$942+'ESTIMATIVA DE HORAS TÉCNICAS'!H822*'ESTIMATIVA DE HORAS TÉCNICAS'!F$941+'ESTIMATIVA DE HORAS TÉCNICAS'!I822*'ESTIMATIVA DE HORAS TÉCNICAS'!F$945+'ESTIMATIVA DE HORAS TÉCNICAS'!J822*'ESTIMATIVA DE HORAS TÉCNICAS'!F$946+'ESTIMATIVA DE HORAS TÉCNICAS'!K822*'ESTIMATIVA DE HORAS TÉCNICAS'!$F$944+'ESTIMATIVA DE HORAS TÉCNICAS'!L822*'ESTIMATIVA DE HORAS TÉCNICAS'!F$951+'ESTIMATIVA DE HORAS TÉCNICAS'!M822*'ESTIMATIVA DE HORAS TÉCNICAS'!F$950+'ESTIMATIVA DE HORAS TÉCNICAS'!N822*'ESTIMATIVA DE HORAS TÉCNICAS'!F$949+'ESTIMATIVA DE HORAS TÉCNICAS'!O822*'ESTIMATIVA DE HORAS TÉCNICAS'!F$948+'ESTIMATIVA DE HORAS TÉCNICAS'!P822*'ESTIMATIVA DE HORAS TÉCNICAS'!$F$947+'ESTIMATIVA DE HORAS TÉCNICAS'!Q822*'ESTIMATIVA DE HORAS TÉCNICAS'!F$953+'ESTIMATIVA DE HORAS TÉCNICAS'!R822*'ESTIMATIVA DE HORAS TÉCNICAS'!F$954</f>
        <v>2154.8576689114657</v>
      </c>
      <c r="E814" s="411">
        <f>'CALCULO DO FATO K'!D$10</f>
        <v>2.3175723620309046</v>
      </c>
      <c r="F814" s="714"/>
      <c r="G814" s="714"/>
      <c r="H814" s="411">
        <f t="shared" si="55"/>
        <v>4994.0385775795548</v>
      </c>
      <c r="I814" s="416"/>
      <c r="J814" s="767"/>
    </row>
    <row r="815" spans="1:10" ht="15.75">
      <c r="A815" s="426" t="s">
        <v>778</v>
      </c>
      <c r="B815" s="768" t="s">
        <v>597</v>
      </c>
      <c r="C815" s="410"/>
      <c r="D815" s="787">
        <f>'ESTIMATIVA DE HORAS TÉCNICAS'!F823*'ESTIMATIVA DE HORAS TÉCNICAS'!F$943+'ESTIMATIVA DE HORAS TÉCNICAS'!G823*'ESTIMATIVA DE HORAS TÉCNICAS'!F$942+'ESTIMATIVA DE HORAS TÉCNICAS'!H823*'ESTIMATIVA DE HORAS TÉCNICAS'!F$941+'ESTIMATIVA DE HORAS TÉCNICAS'!I823*'ESTIMATIVA DE HORAS TÉCNICAS'!F$945+'ESTIMATIVA DE HORAS TÉCNICAS'!J823*'ESTIMATIVA DE HORAS TÉCNICAS'!F$946+'ESTIMATIVA DE HORAS TÉCNICAS'!K823*'ESTIMATIVA DE HORAS TÉCNICAS'!$F$944+'ESTIMATIVA DE HORAS TÉCNICAS'!L823*'ESTIMATIVA DE HORAS TÉCNICAS'!F$951+'ESTIMATIVA DE HORAS TÉCNICAS'!M823*'ESTIMATIVA DE HORAS TÉCNICAS'!F$950+'ESTIMATIVA DE HORAS TÉCNICAS'!N823*'ESTIMATIVA DE HORAS TÉCNICAS'!F$949+'ESTIMATIVA DE HORAS TÉCNICAS'!O823*'ESTIMATIVA DE HORAS TÉCNICAS'!F$948+'ESTIMATIVA DE HORAS TÉCNICAS'!P823*'ESTIMATIVA DE HORAS TÉCNICAS'!$F$947+'ESTIMATIVA DE HORAS TÉCNICAS'!Q823*'ESTIMATIVA DE HORAS TÉCNICAS'!F$953+'ESTIMATIVA DE HORAS TÉCNICAS'!R823*'ESTIMATIVA DE HORAS TÉCNICAS'!F$954</f>
        <v>441.51032747444401</v>
      </c>
      <c r="E815" s="411">
        <f>'CALCULO DO FATO K'!D$10</f>
        <v>2.3175723620309046</v>
      </c>
      <c r="F815" s="714"/>
      <c r="G815" s="714"/>
      <c r="H815" s="411">
        <f t="shared" si="55"/>
        <v>1023.2321325059854</v>
      </c>
      <c r="I815" s="416"/>
      <c r="J815" s="767"/>
    </row>
    <row r="816" spans="1:10" ht="15.75">
      <c r="A816" s="426" t="s">
        <v>779</v>
      </c>
      <c r="B816" s="768" t="s">
        <v>150</v>
      </c>
      <c r="C816" s="410"/>
      <c r="D816" s="787">
        <f>'ESTIMATIVA DE HORAS TÉCNICAS'!F824*'ESTIMATIVA DE HORAS TÉCNICAS'!F$943+'ESTIMATIVA DE HORAS TÉCNICAS'!G824*'ESTIMATIVA DE HORAS TÉCNICAS'!F$942+'ESTIMATIVA DE HORAS TÉCNICAS'!H824*'ESTIMATIVA DE HORAS TÉCNICAS'!F$941+'ESTIMATIVA DE HORAS TÉCNICAS'!I824*'ESTIMATIVA DE HORAS TÉCNICAS'!F$945+'ESTIMATIVA DE HORAS TÉCNICAS'!J824*'ESTIMATIVA DE HORAS TÉCNICAS'!F$946+'ESTIMATIVA DE HORAS TÉCNICAS'!K824*'ESTIMATIVA DE HORAS TÉCNICAS'!$F$944+'ESTIMATIVA DE HORAS TÉCNICAS'!L824*'ESTIMATIVA DE HORAS TÉCNICAS'!F$951+'ESTIMATIVA DE HORAS TÉCNICAS'!M824*'ESTIMATIVA DE HORAS TÉCNICAS'!F$950+'ESTIMATIVA DE HORAS TÉCNICAS'!N824*'ESTIMATIVA DE HORAS TÉCNICAS'!F$949+'ESTIMATIVA DE HORAS TÉCNICAS'!O824*'ESTIMATIVA DE HORAS TÉCNICAS'!F$948+'ESTIMATIVA DE HORAS TÉCNICAS'!P824*'ESTIMATIVA DE HORAS TÉCNICAS'!$F$947+'ESTIMATIVA DE HORAS TÉCNICAS'!Q824*'ESTIMATIVA DE HORAS TÉCNICAS'!F$953+'ESTIMATIVA DE HORAS TÉCNICAS'!R824*'ESTIMATIVA DE HORAS TÉCNICAS'!F$954</f>
        <v>773.76986436653601</v>
      </c>
      <c r="E816" s="411">
        <f>'CALCULO DO FATO K'!D$10</f>
        <v>2.3175723620309046</v>
      </c>
      <c r="F816" s="714"/>
      <c r="G816" s="714"/>
      <c r="H816" s="411">
        <f t="shared" si="55"/>
        <v>1793.2676522282854</v>
      </c>
      <c r="I816" s="416">
        <f>SUM(H809:H816)</f>
        <v>23229.849269723814</v>
      </c>
      <c r="J816" s="767"/>
    </row>
    <row r="817" spans="1:10" s="532" customFormat="1" ht="15.75">
      <c r="A817" s="426"/>
      <c r="B817" s="768"/>
      <c r="C817" s="410"/>
      <c r="D817" s="787"/>
      <c r="E817" s="411"/>
      <c r="F817" s="714"/>
      <c r="G817" s="714"/>
      <c r="H817" s="411"/>
      <c r="I817" s="416"/>
      <c r="J817" s="767"/>
    </row>
    <row r="818" spans="1:10" s="318" customFormat="1" ht="15.75">
      <c r="A818" s="426"/>
      <c r="B818" s="768"/>
      <c r="C818" s="409"/>
      <c r="D818" s="787"/>
      <c r="E818" s="411"/>
      <c r="F818" s="714"/>
      <c r="G818" s="714"/>
      <c r="H818" s="411"/>
      <c r="I818" s="416"/>
      <c r="J818" s="767"/>
    </row>
    <row r="819" spans="1:10" ht="15.75">
      <c r="A819" s="391" t="s">
        <v>780</v>
      </c>
      <c r="B819" s="427" t="s">
        <v>248</v>
      </c>
      <c r="C819" s="478"/>
      <c r="D819" s="796"/>
      <c r="E819" s="475"/>
      <c r="F819" s="475"/>
      <c r="G819" s="475"/>
      <c r="H819" s="475"/>
      <c r="I819" s="476"/>
      <c r="J819" s="767"/>
    </row>
    <row r="820" spans="1:10" ht="15.75">
      <c r="A820" s="426" t="s">
        <v>781</v>
      </c>
      <c r="B820" s="428" t="s">
        <v>326</v>
      </c>
      <c r="C820" s="410"/>
      <c r="D820" s="787">
        <f>'ESTIMATIVA DE HORAS TÉCNICAS'!F828*'ESTIMATIVA DE HORAS TÉCNICAS'!F$943+'ESTIMATIVA DE HORAS TÉCNICAS'!G828*'ESTIMATIVA DE HORAS TÉCNICAS'!F$942+'ESTIMATIVA DE HORAS TÉCNICAS'!H828*'ESTIMATIVA DE HORAS TÉCNICAS'!F$941+'ESTIMATIVA DE HORAS TÉCNICAS'!I828*'ESTIMATIVA DE HORAS TÉCNICAS'!F$945+'ESTIMATIVA DE HORAS TÉCNICAS'!J828*'ESTIMATIVA DE HORAS TÉCNICAS'!F$946+'ESTIMATIVA DE HORAS TÉCNICAS'!K828*'ESTIMATIVA DE HORAS TÉCNICAS'!$F$944+'ESTIMATIVA DE HORAS TÉCNICAS'!L828*'ESTIMATIVA DE HORAS TÉCNICAS'!F$951+'ESTIMATIVA DE HORAS TÉCNICAS'!M828*'ESTIMATIVA DE HORAS TÉCNICAS'!F$950+'ESTIMATIVA DE HORAS TÉCNICAS'!N828*'ESTIMATIVA DE HORAS TÉCNICAS'!F$949+'ESTIMATIVA DE HORAS TÉCNICAS'!O828*'ESTIMATIVA DE HORAS TÉCNICAS'!F$948+'ESTIMATIVA DE HORAS TÉCNICAS'!P828*'ESTIMATIVA DE HORAS TÉCNICAS'!$F$947+'ESTIMATIVA DE HORAS TÉCNICAS'!Q828*'ESTIMATIVA DE HORAS TÉCNICAS'!F$953+'ESTIMATIVA DE HORAS TÉCNICAS'!R828*'ESTIMATIVA DE HORAS TÉCNICAS'!F$954</f>
        <v>2821.8645083680908</v>
      </c>
      <c r="E820" s="411">
        <f>'CALCULO DO FATO K'!D$10</f>
        <v>2.3175723620309046</v>
      </c>
      <c r="F820" s="714"/>
      <c r="G820" s="714"/>
      <c r="H820" s="411">
        <f>D820*E820</f>
        <v>6539.8751939898139</v>
      </c>
      <c r="I820" s="416"/>
      <c r="J820" s="767"/>
    </row>
    <row r="821" spans="1:10" ht="15.75">
      <c r="A821" s="426" t="s">
        <v>782</v>
      </c>
      <c r="B821" s="428" t="s">
        <v>135</v>
      </c>
      <c r="C821" s="410"/>
      <c r="D821" s="787">
        <f>'ESTIMATIVA DE HORAS TÉCNICAS'!F829*'ESTIMATIVA DE HORAS TÉCNICAS'!F$943+'ESTIMATIVA DE HORAS TÉCNICAS'!G829*'ESTIMATIVA DE HORAS TÉCNICAS'!F$942+'ESTIMATIVA DE HORAS TÉCNICAS'!H829*'ESTIMATIVA DE HORAS TÉCNICAS'!F$941+'ESTIMATIVA DE HORAS TÉCNICAS'!I829*'ESTIMATIVA DE HORAS TÉCNICAS'!F$945+'ESTIMATIVA DE HORAS TÉCNICAS'!J829*'ESTIMATIVA DE HORAS TÉCNICAS'!F$946+'ESTIMATIVA DE HORAS TÉCNICAS'!K829*'ESTIMATIVA DE HORAS TÉCNICAS'!$F$944+'ESTIMATIVA DE HORAS TÉCNICAS'!L829*'ESTIMATIVA DE HORAS TÉCNICAS'!F$951+'ESTIMATIVA DE HORAS TÉCNICAS'!M829*'ESTIMATIVA DE HORAS TÉCNICAS'!F$950+'ESTIMATIVA DE HORAS TÉCNICAS'!N829*'ESTIMATIVA DE HORAS TÉCNICAS'!F$949+'ESTIMATIVA DE HORAS TÉCNICAS'!O829*'ESTIMATIVA DE HORAS TÉCNICAS'!F$948+'ESTIMATIVA DE HORAS TÉCNICAS'!P829*'ESTIMATIVA DE HORAS TÉCNICAS'!$F$947+'ESTIMATIVA DE HORAS TÉCNICAS'!Q829*'ESTIMATIVA DE HORAS TÉCNICAS'!F$953+'ESTIMATIVA DE HORAS TÉCNICAS'!R829*'ESTIMATIVA DE HORAS TÉCNICAS'!F$954</f>
        <v>4385.4664698528095</v>
      </c>
      <c r="E821" s="411">
        <f>'CALCULO DO FATO K'!D$10</f>
        <v>2.3175723620309046</v>
      </c>
      <c r="F821" s="714"/>
      <c r="G821" s="714"/>
      <c r="H821" s="411">
        <f t="shared" ref="H821:H827" si="56">D821*E821</f>
        <v>10163.635885144109</v>
      </c>
      <c r="I821" s="416"/>
      <c r="J821" s="767"/>
    </row>
    <row r="822" spans="1:10" ht="15.75">
      <c r="A822" s="426" t="s">
        <v>783</v>
      </c>
      <c r="B822" s="428" t="s">
        <v>112</v>
      </c>
      <c r="C822" s="410"/>
      <c r="D822" s="787">
        <f>'ESTIMATIVA DE HORAS TÉCNICAS'!F830*'ESTIMATIVA DE HORAS TÉCNICAS'!F$943+'ESTIMATIVA DE HORAS TÉCNICAS'!G830*'ESTIMATIVA DE HORAS TÉCNICAS'!F$942+'ESTIMATIVA DE HORAS TÉCNICAS'!H830*'ESTIMATIVA DE HORAS TÉCNICAS'!F$941+'ESTIMATIVA DE HORAS TÉCNICAS'!I830*'ESTIMATIVA DE HORAS TÉCNICAS'!F$945+'ESTIMATIVA DE HORAS TÉCNICAS'!J830*'ESTIMATIVA DE HORAS TÉCNICAS'!F$946+'ESTIMATIVA DE HORAS TÉCNICAS'!K830*'ESTIMATIVA DE HORAS TÉCNICAS'!$F$944+'ESTIMATIVA DE HORAS TÉCNICAS'!L830*'ESTIMATIVA DE HORAS TÉCNICAS'!F$951+'ESTIMATIVA DE HORAS TÉCNICAS'!M830*'ESTIMATIVA DE HORAS TÉCNICAS'!F$950+'ESTIMATIVA DE HORAS TÉCNICAS'!N830*'ESTIMATIVA DE HORAS TÉCNICAS'!F$949+'ESTIMATIVA DE HORAS TÉCNICAS'!O830*'ESTIMATIVA DE HORAS TÉCNICAS'!F$948+'ESTIMATIVA DE HORAS TÉCNICAS'!P830*'ESTIMATIVA DE HORAS TÉCNICAS'!$F$947+'ESTIMATIVA DE HORAS TÉCNICAS'!Q830*'ESTIMATIVA DE HORAS TÉCNICAS'!F$953+'ESTIMATIVA DE HORAS TÉCNICAS'!R830*'ESTIMATIVA DE HORAS TÉCNICAS'!F$954</f>
        <v>4661.1966264984294</v>
      </c>
      <c r="E822" s="411">
        <f>'CALCULO DO FATO K'!D$10</f>
        <v>2.3175723620309046</v>
      </c>
      <c r="F822" s="714"/>
      <c r="G822" s="714"/>
      <c r="H822" s="411">
        <f t="shared" si="56"/>
        <v>10802.660475564449</v>
      </c>
      <c r="I822" s="416"/>
      <c r="J822" s="767"/>
    </row>
    <row r="823" spans="1:10" ht="15.75">
      <c r="A823" s="426" t="s">
        <v>784</v>
      </c>
      <c r="B823" s="428" t="s">
        <v>152</v>
      </c>
      <c r="C823" s="410"/>
      <c r="D823" s="787">
        <f>'ESTIMATIVA DE HORAS TÉCNICAS'!F831*'ESTIMATIVA DE HORAS TÉCNICAS'!F$943+'ESTIMATIVA DE HORAS TÉCNICAS'!G831*'ESTIMATIVA DE HORAS TÉCNICAS'!F$942+'ESTIMATIVA DE HORAS TÉCNICAS'!H831*'ESTIMATIVA DE HORAS TÉCNICAS'!F$941+'ESTIMATIVA DE HORAS TÉCNICAS'!I831*'ESTIMATIVA DE HORAS TÉCNICAS'!F$945+'ESTIMATIVA DE HORAS TÉCNICAS'!J831*'ESTIMATIVA DE HORAS TÉCNICAS'!F$946+'ESTIMATIVA DE HORAS TÉCNICAS'!K831*'ESTIMATIVA DE HORAS TÉCNICAS'!$F$944+'ESTIMATIVA DE HORAS TÉCNICAS'!L831*'ESTIMATIVA DE HORAS TÉCNICAS'!F$951+'ESTIMATIVA DE HORAS TÉCNICAS'!M831*'ESTIMATIVA DE HORAS TÉCNICAS'!F$950+'ESTIMATIVA DE HORAS TÉCNICAS'!N831*'ESTIMATIVA DE HORAS TÉCNICAS'!F$949+'ESTIMATIVA DE HORAS TÉCNICAS'!O831*'ESTIMATIVA DE HORAS TÉCNICAS'!F$948+'ESTIMATIVA DE HORAS TÉCNICAS'!P831*'ESTIMATIVA DE HORAS TÉCNICAS'!$F$947+'ESTIMATIVA DE HORAS TÉCNICAS'!Q831*'ESTIMATIVA DE HORAS TÉCNICAS'!F$953+'ESTIMATIVA DE HORAS TÉCNICAS'!R831*'ESTIMATIVA DE HORAS TÉCNICAS'!F$954</f>
        <v>442</v>
      </c>
      <c r="E823" s="411">
        <f>'CALCULO DO FATO K'!D$10</f>
        <v>2.3175723620309046</v>
      </c>
      <c r="F823" s="714"/>
      <c r="G823" s="714"/>
      <c r="H823" s="411">
        <f t="shared" si="56"/>
        <v>1024.3669840176599</v>
      </c>
      <c r="I823" s="416"/>
      <c r="J823" s="767"/>
    </row>
    <row r="824" spans="1:10" ht="15.75">
      <c r="A824" s="426" t="s">
        <v>785</v>
      </c>
      <c r="B824" s="428" t="s">
        <v>105</v>
      </c>
      <c r="C824" s="410"/>
      <c r="D824" s="787">
        <f>'ESTIMATIVA DE HORAS TÉCNICAS'!F832*'ESTIMATIVA DE HORAS TÉCNICAS'!F$943+'ESTIMATIVA DE HORAS TÉCNICAS'!G832*'ESTIMATIVA DE HORAS TÉCNICAS'!F$942+'ESTIMATIVA DE HORAS TÉCNICAS'!H832*'ESTIMATIVA DE HORAS TÉCNICAS'!F$941+'ESTIMATIVA DE HORAS TÉCNICAS'!I832*'ESTIMATIVA DE HORAS TÉCNICAS'!F$945+'ESTIMATIVA DE HORAS TÉCNICAS'!J832*'ESTIMATIVA DE HORAS TÉCNICAS'!F$946+'ESTIMATIVA DE HORAS TÉCNICAS'!K832*'ESTIMATIVA DE HORAS TÉCNICAS'!$F$944+'ESTIMATIVA DE HORAS TÉCNICAS'!L832*'ESTIMATIVA DE HORAS TÉCNICAS'!F$951+'ESTIMATIVA DE HORAS TÉCNICAS'!M832*'ESTIMATIVA DE HORAS TÉCNICAS'!F$950+'ESTIMATIVA DE HORAS TÉCNICAS'!N832*'ESTIMATIVA DE HORAS TÉCNICAS'!F$949+'ESTIMATIVA DE HORAS TÉCNICAS'!O832*'ESTIMATIVA DE HORAS TÉCNICAS'!F$948+'ESTIMATIVA DE HORAS TÉCNICAS'!P832*'ESTIMATIVA DE HORAS TÉCNICAS'!$F$947+'ESTIMATIVA DE HORAS TÉCNICAS'!Q832*'ESTIMATIVA DE HORAS TÉCNICAS'!F$953+'ESTIMATIVA DE HORAS TÉCNICAS'!R832*'ESTIMATIVA DE HORAS TÉCNICAS'!F$954</f>
        <v>3263.374835842535</v>
      </c>
      <c r="E824" s="411">
        <f>'CALCULO DO FATO K'!D$10</f>
        <v>2.3175723620309046</v>
      </c>
      <c r="F824" s="714"/>
      <c r="G824" s="714"/>
      <c r="H824" s="411">
        <f t="shared" si="56"/>
        <v>7563.1073264957995</v>
      </c>
      <c r="I824" s="416"/>
      <c r="J824" s="767"/>
    </row>
    <row r="825" spans="1:10" ht="15.75">
      <c r="A825" s="426" t="s">
        <v>786</v>
      </c>
      <c r="B825" s="428" t="s">
        <v>595</v>
      </c>
      <c r="C825" s="410"/>
      <c r="D825" s="787">
        <f>'ESTIMATIVA DE HORAS TÉCNICAS'!F833*'ESTIMATIVA DE HORAS TÉCNICAS'!F$943+'ESTIMATIVA DE HORAS TÉCNICAS'!G833*'ESTIMATIVA DE HORAS TÉCNICAS'!F$942+'ESTIMATIVA DE HORAS TÉCNICAS'!H833*'ESTIMATIVA DE HORAS TÉCNICAS'!F$941+'ESTIMATIVA DE HORAS TÉCNICAS'!I833*'ESTIMATIVA DE HORAS TÉCNICAS'!F$945+'ESTIMATIVA DE HORAS TÉCNICAS'!J833*'ESTIMATIVA DE HORAS TÉCNICAS'!F$946+'ESTIMATIVA DE HORAS TÉCNICAS'!K833*'ESTIMATIVA DE HORAS TÉCNICAS'!$F$944+'ESTIMATIVA DE HORAS TÉCNICAS'!L833*'ESTIMATIVA DE HORAS TÉCNICAS'!F$951+'ESTIMATIVA DE HORAS TÉCNICAS'!M833*'ESTIMATIVA DE HORAS TÉCNICAS'!F$950+'ESTIMATIVA DE HORAS TÉCNICAS'!N833*'ESTIMATIVA DE HORAS TÉCNICAS'!F$949+'ESTIMATIVA DE HORAS TÉCNICAS'!O833*'ESTIMATIVA DE HORAS TÉCNICAS'!F$948+'ESTIMATIVA DE HORAS TÉCNICAS'!P833*'ESTIMATIVA DE HORAS TÉCNICAS'!$F$947+'ESTIMATIVA DE HORAS TÉCNICAS'!Q833*'ESTIMATIVA DE HORAS TÉCNICAS'!F$953+'ESTIMATIVA DE HORAS TÉCNICAS'!R833*'ESTIMATIVA DE HORAS TÉCNICAS'!F$954</f>
        <v>3263.374835842535</v>
      </c>
      <c r="E825" s="411">
        <f>'CALCULO DO FATO K'!D$10</f>
        <v>2.3175723620309046</v>
      </c>
      <c r="F825" s="714"/>
      <c r="G825" s="714"/>
      <c r="H825" s="411">
        <f t="shared" si="56"/>
        <v>7563.1073264957995</v>
      </c>
      <c r="I825" s="416"/>
      <c r="J825" s="767"/>
    </row>
    <row r="826" spans="1:10" ht="15.75">
      <c r="A826" s="426" t="s">
        <v>787</v>
      </c>
      <c r="B826" s="428" t="s">
        <v>597</v>
      </c>
      <c r="C826" s="410"/>
      <c r="D826" s="787">
        <f>'ESTIMATIVA DE HORAS TÉCNICAS'!F834*'ESTIMATIVA DE HORAS TÉCNICAS'!F$943+'ESTIMATIVA DE HORAS TÉCNICAS'!G834*'ESTIMATIVA DE HORAS TÉCNICAS'!F$942+'ESTIMATIVA DE HORAS TÉCNICAS'!H834*'ESTIMATIVA DE HORAS TÉCNICAS'!F$941+'ESTIMATIVA DE HORAS TÉCNICAS'!I834*'ESTIMATIVA DE HORAS TÉCNICAS'!F$945+'ESTIMATIVA DE HORAS TÉCNICAS'!J834*'ESTIMATIVA DE HORAS TÉCNICAS'!F$946+'ESTIMATIVA DE HORAS TÉCNICAS'!K834*'ESTIMATIVA DE HORAS TÉCNICAS'!$F$944+'ESTIMATIVA DE HORAS TÉCNICAS'!L834*'ESTIMATIVA DE HORAS TÉCNICAS'!F$951+'ESTIMATIVA DE HORAS TÉCNICAS'!M834*'ESTIMATIVA DE HORAS TÉCNICAS'!F$950+'ESTIMATIVA DE HORAS TÉCNICAS'!N834*'ESTIMATIVA DE HORAS TÉCNICAS'!F$949+'ESTIMATIVA DE HORAS TÉCNICAS'!O834*'ESTIMATIVA DE HORAS TÉCNICAS'!F$948+'ESTIMATIVA DE HORAS TÉCNICAS'!P834*'ESTIMATIVA DE HORAS TÉCNICAS'!$F$947+'ESTIMATIVA DE HORAS TÉCNICAS'!Q834*'ESTIMATIVA DE HORAS TÉCNICAS'!F$953+'ESTIMATIVA DE HORAS TÉCNICAS'!R834*'ESTIMATIVA DE HORAS TÉCNICAS'!F$954</f>
        <v>441.51032747444401</v>
      </c>
      <c r="E826" s="411">
        <f>'CALCULO DO FATO K'!D$10</f>
        <v>2.3175723620309046</v>
      </c>
      <c r="F826" s="714"/>
      <c r="G826" s="714"/>
      <c r="H826" s="411">
        <f t="shared" si="56"/>
        <v>1023.2321325059854</v>
      </c>
      <c r="I826" s="416"/>
      <c r="J826" s="767"/>
    </row>
    <row r="827" spans="1:10" ht="15.75">
      <c r="A827" s="426" t="s">
        <v>788</v>
      </c>
      <c r="B827" s="768" t="s">
        <v>150</v>
      </c>
      <c r="C827" s="410"/>
      <c r="D827" s="787">
        <f>'ESTIMATIVA DE HORAS TÉCNICAS'!F835*'ESTIMATIVA DE HORAS TÉCNICAS'!F$943+'ESTIMATIVA DE HORAS TÉCNICAS'!G835*'ESTIMATIVA DE HORAS TÉCNICAS'!F$942+'ESTIMATIVA DE HORAS TÉCNICAS'!H835*'ESTIMATIVA DE HORAS TÉCNICAS'!F$941+'ESTIMATIVA DE HORAS TÉCNICAS'!I835*'ESTIMATIVA DE HORAS TÉCNICAS'!F$945+'ESTIMATIVA DE HORAS TÉCNICAS'!J835*'ESTIMATIVA DE HORAS TÉCNICAS'!F$946+'ESTIMATIVA DE HORAS TÉCNICAS'!K835*'ESTIMATIVA DE HORAS TÉCNICAS'!$F$944+'ESTIMATIVA DE HORAS TÉCNICAS'!L835*'ESTIMATIVA DE HORAS TÉCNICAS'!F$951+'ESTIMATIVA DE HORAS TÉCNICAS'!M835*'ESTIMATIVA DE HORAS TÉCNICAS'!F$950+'ESTIMATIVA DE HORAS TÉCNICAS'!N835*'ESTIMATIVA DE HORAS TÉCNICAS'!F$949+'ESTIMATIVA DE HORAS TÉCNICAS'!O835*'ESTIMATIVA DE HORAS TÉCNICAS'!F$948+'ESTIMATIVA DE HORAS TÉCNICAS'!P835*'ESTIMATIVA DE HORAS TÉCNICAS'!$F$947+'ESTIMATIVA DE HORAS TÉCNICAS'!Q835*'ESTIMATIVA DE HORAS TÉCNICAS'!F$953+'ESTIMATIVA DE HORAS TÉCNICAS'!R835*'ESTIMATIVA DE HORAS TÉCNICAS'!F$954</f>
        <v>1159.2404841200635</v>
      </c>
      <c r="E827" s="411">
        <f>'CALCULO DO FATO K'!D$10</f>
        <v>2.3175723620309046</v>
      </c>
      <c r="F827" s="714"/>
      <c r="G827" s="714"/>
      <c r="H827" s="411">
        <f t="shared" si="56"/>
        <v>2686.6237069439849</v>
      </c>
      <c r="I827" s="416">
        <f>SUM(H820:H827)</f>
        <v>47366.609031157597</v>
      </c>
      <c r="J827" s="767"/>
    </row>
    <row r="828" spans="1:10" s="532" customFormat="1" ht="15.75">
      <c r="A828" s="426"/>
      <c r="B828" s="768"/>
      <c r="C828" s="410"/>
      <c r="D828" s="787"/>
      <c r="E828" s="411"/>
      <c r="F828" s="714"/>
      <c r="G828" s="714"/>
      <c r="H828" s="411"/>
      <c r="I828" s="416"/>
      <c r="J828" s="767"/>
    </row>
    <row r="829" spans="1:10" s="318" customFormat="1" ht="15.75">
      <c r="A829" s="426"/>
      <c r="B829" s="768"/>
      <c r="C829" s="410"/>
      <c r="D829" s="787"/>
      <c r="E829" s="411"/>
      <c r="F829" s="714"/>
      <c r="G829" s="714"/>
      <c r="H829" s="411"/>
      <c r="I829" s="416"/>
      <c r="J829" s="767"/>
    </row>
    <row r="830" spans="1:10" ht="15.75">
      <c r="A830" s="391" t="s">
        <v>789</v>
      </c>
      <c r="B830" s="427" t="s">
        <v>253</v>
      </c>
      <c r="C830" s="474"/>
      <c r="D830" s="796"/>
      <c r="E830" s="475"/>
      <c r="F830" s="475"/>
      <c r="G830" s="475"/>
      <c r="H830" s="475"/>
      <c r="I830" s="476"/>
      <c r="J830" s="767"/>
    </row>
    <row r="831" spans="1:10" ht="15.75">
      <c r="A831" s="426" t="s">
        <v>790</v>
      </c>
      <c r="B831" s="428" t="s">
        <v>326</v>
      </c>
      <c r="C831" s="409"/>
      <c r="D831" s="787">
        <f>'ESTIMATIVA DE HORAS TÉCNICAS'!F839*'ESTIMATIVA DE HORAS TÉCNICAS'!F$943+'ESTIMATIVA DE HORAS TÉCNICAS'!G839*'ESTIMATIVA DE HORAS TÉCNICAS'!F$942+'ESTIMATIVA DE HORAS TÉCNICAS'!H839*'ESTIMATIVA DE HORAS TÉCNICAS'!F$941+'ESTIMATIVA DE HORAS TÉCNICAS'!I839*'ESTIMATIVA DE HORAS TÉCNICAS'!F$945+'ESTIMATIVA DE HORAS TÉCNICAS'!J839*'ESTIMATIVA DE HORAS TÉCNICAS'!F$946+'ESTIMATIVA DE HORAS TÉCNICAS'!K839*'ESTIMATIVA DE HORAS TÉCNICAS'!$F$944+'ESTIMATIVA DE HORAS TÉCNICAS'!L839*'ESTIMATIVA DE HORAS TÉCNICAS'!F$951+'ESTIMATIVA DE HORAS TÉCNICAS'!M839*'ESTIMATIVA DE HORAS TÉCNICAS'!F$950+'ESTIMATIVA DE HORAS TÉCNICAS'!N839*'ESTIMATIVA DE HORAS TÉCNICAS'!F$949+'ESTIMATIVA DE HORAS TÉCNICAS'!O839*'ESTIMATIVA DE HORAS TÉCNICAS'!F$948+'ESTIMATIVA DE HORAS TÉCNICAS'!P839*'ESTIMATIVA DE HORAS TÉCNICAS'!$F$947+'ESTIMATIVA DE HORAS TÉCNICAS'!Q839*'ESTIMATIVA DE HORAS TÉCNICAS'!F$953+'ESTIMATIVA DE HORAS TÉCNICAS'!R839*'ESTIMATIVA DE HORAS TÉCNICAS'!F$954</f>
        <v>1501.3847667125433</v>
      </c>
      <c r="E831" s="411">
        <f>'CALCULO DO FATO K'!D$10</f>
        <v>2.3175723620309046</v>
      </c>
      <c r="F831" s="714"/>
      <c r="G831" s="714"/>
      <c r="H831" s="411">
        <f>D831*E831</f>
        <v>3479.5678401072078</v>
      </c>
      <c r="I831" s="416"/>
      <c r="J831" s="767"/>
    </row>
    <row r="832" spans="1:10" ht="15.75">
      <c r="A832" s="426" t="s">
        <v>791</v>
      </c>
      <c r="B832" s="428" t="s">
        <v>135</v>
      </c>
      <c r="C832" s="409"/>
      <c r="D832" s="787">
        <f>'ESTIMATIVA DE HORAS TÉCNICAS'!F840*'ESTIMATIVA DE HORAS TÉCNICAS'!F$943+'ESTIMATIVA DE HORAS TÉCNICAS'!G840*'ESTIMATIVA DE HORAS TÉCNICAS'!F$942+'ESTIMATIVA DE HORAS TÉCNICAS'!H840*'ESTIMATIVA DE HORAS TÉCNICAS'!F$941+'ESTIMATIVA DE HORAS TÉCNICAS'!I840*'ESTIMATIVA DE HORAS TÉCNICAS'!F$945+'ESTIMATIVA DE HORAS TÉCNICAS'!J840*'ESTIMATIVA DE HORAS TÉCNICAS'!F$946+'ESTIMATIVA DE HORAS TÉCNICAS'!K840*'ESTIMATIVA DE HORAS TÉCNICAS'!$F$944+'ESTIMATIVA DE HORAS TÉCNICAS'!L840*'ESTIMATIVA DE HORAS TÉCNICAS'!F$951+'ESTIMATIVA DE HORAS TÉCNICAS'!M840*'ESTIMATIVA DE HORAS TÉCNICAS'!F$950+'ESTIMATIVA DE HORAS TÉCNICAS'!N840*'ESTIMATIVA DE HORAS TÉCNICAS'!F$949+'ESTIMATIVA DE HORAS TÉCNICAS'!O840*'ESTIMATIVA DE HORAS TÉCNICAS'!F$948+'ESTIMATIVA DE HORAS TÉCNICAS'!P840*'ESTIMATIVA DE HORAS TÉCNICAS'!$F$947+'ESTIMATIVA DE HORAS TÉCNICAS'!Q840*'ESTIMATIVA DE HORAS TÉCNICAS'!F$953+'ESTIMATIVA DE HORAS TÉCNICAS'!R840*'ESTIMATIVA DE HORAS TÉCNICAS'!F$954</f>
        <v>1386.673465849994</v>
      </c>
      <c r="E832" s="411">
        <f>'CALCULO DO FATO K'!D$10</f>
        <v>2.3175723620309046</v>
      </c>
      <c r="F832" s="714"/>
      <c r="G832" s="714"/>
      <c r="H832" s="411">
        <f t="shared" ref="H832:H838" si="57">D832*E832</f>
        <v>3213.7160996155517</v>
      </c>
      <c r="I832" s="416"/>
      <c r="J832" s="767"/>
    </row>
    <row r="833" spans="1:10" ht="15.75">
      <c r="A833" s="426" t="s">
        <v>792</v>
      </c>
      <c r="B833" s="428" t="s">
        <v>112</v>
      </c>
      <c r="C833" s="409"/>
      <c r="D833" s="787">
        <f>'ESTIMATIVA DE HORAS TÉCNICAS'!F841*'ESTIMATIVA DE HORAS TÉCNICAS'!F$943+'ESTIMATIVA DE HORAS TÉCNICAS'!G841*'ESTIMATIVA DE HORAS TÉCNICAS'!F$942+'ESTIMATIVA DE HORAS TÉCNICAS'!H841*'ESTIMATIVA DE HORAS TÉCNICAS'!F$941+'ESTIMATIVA DE HORAS TÉCNICAS'!I841*'ESTIMATIVA DE HORAS TÉCNICAS'!F$945+'ESTIMATIVA DE HORAS TÉCNICAS'!J841*'ESTIMATIVA DE HORAS TÉCNICAS'!F$946+'ESTIMATIVA DE HORAS TÉCNICAS'!K841*'ESTIMATIVA DE HORAS TÉCNICAS'!$F$944+'ESTIMATIVA DE HORAS TÉCNICAS'!L841*'ESTIMATIVA DE HORAS TÉCNICAS'!F$951+'ESTIMATIVA DE HORAS TÉCNICAS'!M841*'ESTIMATIVA DE HORAS TÉCNICAS'!F$950+'ESTIMATIVA DE HORAS TÉCNICAS'!N841*'ESTIMATIVA DE HORAS TÉCNICAS'!F$949+'ESTIMATIVA DE HORAS TÉCNICAS'!O841*'ESTIMATIVA DE HORAS TÉCNICAS'!F$948+'ESTIMATIVA DE HORAS TÉCNICAS'!P841*'ESTIMATIVA DE HORAS TÉCNICAS'!$F$947+'ESTIMATIVA DE HORAS TÉCNICAS'!Q841*'ESTIMATIVA DE HORAS TÉCNICAS'!F$953+'ESTIMATIVA DE HORAS TÉCNICAS'!R841*'ESTIMATIVA DE HORAS TÉCNICAS'!F$954</f>
        <v>1826.5179706460185</v>
      </c>
      <c r="E833" s="411">
        <f>'CALCULO DO FATO K'!D$10</f>
        <v>2.3175723620309046</v>
      </c>
      <c r="F833" s="714"/>
      <c r="G833" s="714"/>
      <c r="H833" s="411">
        <f t="shared" si="57"/>
        <v>4233.0875675219877</v>
      </c>
      <c r="I833" s="416"/>
      <c r="J833" s="767"/>
    </row>
    <row r="834" spans="1:10" ht="15.75">
      <c r="A834" s="426" t="s">
        <v>793</v>
      </c>
      <c r="B834" s="428" t="s">
        <v>152</v>
      </c>
      <c r="C834" s="409"/>
      <c r="D834" s="787">
        <f>'ESTIMATIVA DE HORAS TÉCNICAS'!F842*'ESTIMATIVA DE HORAS TÉCNICAS'!F$943+'ESTIMATIVA DE HORAS TÉCNICAS'!G842*'ESTIMATIVA DE HORAS TÉCNICAS'!F$942+'ESTIMATIVA DE HORAS TÉCNICAS'!H842*'ESTIMATIVA DE HORAS TÉCNICAS'!F$941+'ESTIMATIVA DE HORAS TÉCNICAS'!I842*'ESTIMATIVA DE HORAS TÉCNICAS'!F$945+'ESTIMATIVA DE HORAS TÉCNICAS'!J842*'ESTIMATIVA DE HORAS TÉCNICAS'!F$946+'ESTIMATIVA DE HORAS TÉCNICAS'!K842*'ESTIMATIVA DE HORAS TÉCNICAS'!$F$944+'ESTIMATIVA DE HORAS TÉCNICAS'!L842*'ESTIMATIVA DE HORAS TÉCNICAS'!F$951+'ESTIMATIVA DE HORAS TÉCNICAS'!M842*'ESTIMATIVA DE HORAS TÉCNICAS'!F$950+'ESTIMATIVA DE HORAS TÉCNICAS'!N842*'ESTIMATIVA DE HORAS TÉCNICAS'!F$949+'ESTIMATIVA DE HORAS TÉCNICAS'!O842*'ESTIMATIVA DE HORAS TÉCNICAS'!F$948+'ESTIMATIVA DE HORAS TÉCNICAS'!P842*'ESTIMATIVA DE HORAS TÉCNICAS'!$F$947+'ESTIMATIVA DE HORAS TÉCNICAS'!Q842*'ESTIMATIVA DE HORAS TÉCNICAS'!F$953+'ESTIMATIVA DE HORAS TÉCNICAS'!R842*'ESTIMATIVA DE HORAS TÉCNICAS'!F$954</f>
        <v>1464.5692219198804</v>
      </c>
      <c r="E834" s="411">
        <f>'CALCULO DO FATO K'!D$10</f>
        <v>2.3175723620309046</v>
      </c>
      <c r="F834" s="714"/>
      <c r="G834" s="714"/>
      <c r="H834" s="411">
        <f t="shared" si="57"/>
        <v>3394.2451510026212</v>
      </c>
      <c r="I834" s="416"/>
      <c r="J834" s="767"/>
    </row>
    <row r="835" spans="1:10" ht="15.75">
      <c r="A835" s="426" t="s">
        <v>794</v>
      </c>
      <c r="B835" s="428" t="s">
        <v>105</v>
      </c>
      <c r="C835" s="409"/>
      <c r="D835" s="787">
        <f>'ESTIMATIVA DE HORAS TÉCNICAS'!F843*'ESTIMATIVA DE HORAS TÉCNICAS'!F$943+'ESTIMATIVA DE HORAS TÉCNICAS'!G843*'ESTIMATIVA DE HORAS TÉCNICAS'!F$942+'ESTIMATIVA DE HORAS TÉCNICAS'!H843*'ESTIMATIVA DE HORAS TÉCNICAS'!F$941+'ESTIMATIVA DE HORAS TÉCNICAS'!I843*'ESTIMATIVA DE HORAS TÉCNICAS'!F$945+'ESTIMATIVA DE HORAS TÉCNICAS'!J843*'ESTIMATIVA DE HORAS TÉCNICAS'!F$946+'ESTIMATIVA DE HORAS TÉCNICAS'!K843*'ESTIMATIVA DE HORAS TÉCNICAS'!$F$944+'ESTIMATIVA DE HORAS TÉCNICAS'!L843*'ESTIMATIVA DE HORAS TÉCNICAS'!F$951+'ESTIMATIVA DE HORAS TÉCNICAS'!M843*'ESTIMATIVA DE HORAS TÉCNICAS'!F$950+'ESTIMATIVA DE HORAS TÉCNICAS'!N843*'ESTIMATIVA DE HORAS TÉCNICAS'!F$949+'ESTIMATIVA DE HORAS TÉCNICAS'!O843*'ESTIMATIVA DE HORAS TÉCNICAS'!F$948+'ESTIMATIVA DE HORAS TÉCNICAS'!P843*'ESTIMATIVA DE HORAS TÉCNICAS'!$F$947+'ESTIMATIVA DE HORAS TÉCNICAS'!Q843*'ESTIMATIVA DE HORAS TÉCNICAS'!F$953+'ESTIMATIVA DE HORAS TÉCNICAS'!R843*'ESTIMATIVA DE HORAS TÉCNICAS'!F$954</f>
        <v>2586.1352920164313</v>
      </c>
      <c r="E835" s="411">
        <f>'CALCULO DO FATO K'!D$10</f>
        <v>2.3175723620309046</v>
      </c>
      <c r="F835" s="714"/>
      <c r="G835" s="714"/>
      <c r="H835" s="411">
        <f t="shared" si="57"/>
        <v>5993.555677250004</v>
      </c>
      <c r="I835" s="416"/>
      <c r="J835" s="767"/>
    </row>
    <row r="836" spans="1:10" ht="15.75">
      <c r="A836" s="426" t="s">
        <v>795</v>
      </c>
      <c r="B836" s="428" t="s">
        <v>595</v>
      </c>
      <c r="C836" s="409"/>
      <c r="D836" s="787">
        <f>'ESTIMATIVA DE HORAS TÉCNICAS'!F844*'ESTIMATIVA DE HORAS TÉCNICAS'!F$943+'ESTIMATIVA DE HORAS TÉCNICAS'!G844*'ESTIMATIVA DE HORAS TÉCNICAS'!F$942+'ESTIMATIVA DE HORAS TÉCNICAS'!H844*'ESTIMATIVA DE HORAS TÉCNICAS'!F$941+'ESTIMATIVA DE HORAS TÉCNICAS'!I844*'ESTIMATIVA DE HORAS TÉCNICAS'!F$945+'ESTIMATIVA DE HORAS TÉCNICAS'!J844*'ESTIMATIVA DE HORAS TÉCNICAS'!F$946+'ESTIMATIVA DE HORAS TÉCNICAS'!K844*'ESTIMATIVA DE HORAS TÉCNICAS'!$F$944+'ESTIMATIVA DE HORAS TÉCNICAS'!L844*'ESTIMATIVA DE HORAS TÉCNICAS'!F$951+'ESTIMATIVA DE HORAS TÉCNICAS'!M844*'ESTIMATIVA DE HORAS TÉCNICAS'!F$950+'ESTIMATIVA DE HORAS TÉCNICAS'!N844*'ESTIMATIVA DE HORAS TÉCNICAS'!F$949+'ESTIMATIVA DE HORAS TÉCNICAS'!O844*'ESTIMATIVA DE HORAS TÉCNICAS'!F$948+'ESTIMATIVA DE HORAS TÉCNICAS'!P844*'ESTIMATIVA DE HORAS TÉCNICAS'!$F$947+'ESTIMATIVA DE HORAS TÉCNICAS'!Q844*'ESTIMATIVA DE HORAS TÉCNICAS'!F$953+'ESTIMATIVA DE HORAS TÉCNICAS'!R844*'ESTIMATIVA DE HORAS TÉCNICAS'!F$954</f>
        <v>2029.8376075559713</v>
      </c>
      <c r="E836" s="411">
        <f>'CALCULO DO FATO K'!D$10</f>
        <v>2.3175723620309046</v>
      </c>
      <c r="F836" s="714"/>
      <c r="G836" s="714"/>
      <c r="H836" s="411">
        <f t="shared" si="57"/>
        <v>4704.2955386826525</v>
      </c>
      <c r="I836" s="416"/>
      <c r="J836" s="767"/>
    </row>
    <row r="837" spans="1:10" ht="15.75">
      <c r="A837" s="426" t="s">
        <v>796</v>
      </c>
      <c r="B837" s="428" t="s">
        <v>597</v>
      </c>
      <c r="C837" s="410"/>
      <c r="D837" s="787">
        <f>'ESTIMATIVA DE HORAS TÉCNICAS'!F845*'ESTIMATIVA DE HORAS TÉCNICAS'!F$943+'ESTIMATIVA DE HORAS TÉCNICAS'!G845*'ESTIMATIVA DE HORAS TÉCNICAS'!F$942+'ESTIMATIVA DE HORAS TÉCNICAS'!H845*'ESTIMATIVA DE HORAS TÉCNICAS'!F$941+'ESTIMATIVA DE HORAS TÉCNICAS'!I845*'ESTIMATIVA DE HORAS TÉCNICAS'!F$945+'ESTIMATIVA DE HORAS TÉCNICAS'!J845*'ESTIMATIVA DE HORAS TÉCNICAS'!F$946+'ESTIMATIVA DE HORAS TÉCNICAS'!K845*'ESTIMATIVA DE HORAS TÉCNICAS'!$F$944+'ESTIMATIVA DE HORAS TÉCNICAS'!L845*'ESTIMATIVA DE HORAS TÉCNICAS'!F$951+'ESTIMATIVA DE HORAS TÉCNICAS'!M845*'ESTIMATIVA DE HORAS TÉCNICAS'!F$950+'ESTIMATIVA DE HORAS TÉCNICAS'!N845*'ESTIMATIVA DE HORAS TÉCNICAS'!F$949+'ESTIMATIVA DE HORAS TÉCNICAS'!O845*'ESTIMATIVA DE HORAS TÉCNICAS'!F$948+'ESTIMATIVA DE HORAS TÉCNICAS'!P845*'ESTIMATIVA DE HORAS TÉCNICAS'!$F$947+'ESTIMATIVA DE HORAS TÉCNICAS'!Q845*'ESTIMATIVA DE HORAS TÉCNICAS'!F$953+'ESTIMATIVA DE HORAS TÉCNICAS'!R845*'ESTIMATIVA DE HORAS TÉCNICAS'!F$954</f>
        <v>326.33372030719772</v>
      </c>
      <c r="E837" s="411">
        <f>'CALCULO DO FATO K'!D$10</f>
        <v>2.3175723620309046</v>
      </c>
      <c r="F837" s="714"/>
      <c r="G837" s="714"/>
      <c r="H837" s="411">
        <f t="shared" si="57"/>
        <v>756.30201098268481</v>
      </c>
      <c r="I837" s="416"/>
      <c r="J837" s="767"/>
    </row>
    <row r="838" spans="1:10" ht="15.75">
      <c r="A838" s="426" t="s">
        <v>797</v>
      </c>
      <c r="B838" s="768" t="s">
        <v>150</v>
      </c>
      <c r="C838" s="410"/>
      <c r="D838" s="787">
        <f>'ESTIMATIVA DE HORAS TÉCNICAS'!F846*'ESTIMATIVA DE HORAS TÉCNICAS'!F$943+'ESTIMATIVA DE HORAS TÉCNICAS'!G846*'ESTIMATIVA DE HORAS TÉCNICAS'!F$942+'ESTIMATIVA DE HORAS TÉCNICAS'!H846*'ESTIMATIVA DE HORAS TÉCNICAS'!F$941+'ESTIMATIVA DE HORAS TÉCNICAS'!I846*'ESTIMATIVA DE HORAS TÉCNICAS'!F$945+'ESTIMATIVA DE HORAS TÉCNICAS'!J846*'ESTIMATIVA DE HORAS TÉCNICAS'!F$946+'ESTIMATIVA DE HORAS TÉCNICAS'!K846*'ESTIMATIVA DE HORAS TÉCNICAS'!$F$944+'ESTIMATIVA DE HORAS TÉCNICAS'!L846*'ESTIMATIVA DE HORAS TÉCNICAS'!F$951+'ESTIMATIVA DE HORAS TÉCNICAS'!M846*'ESTIMATIVA DE HORAS TÉCNICAS'!F$950+'ESTIMATIVA DE HORAS TÉCNICAS'!N846*'ESTIMATIVA DE HORAS TÉCNICAS'!F$949+'ESTIMATIVA DE HORAS TÉCNICAS'!O846*'ESTIMATIVA DE HORAS TÉCNICAS'!F$948+'ESTIMATIVA DE HORAS TÉCNICAS'!P846*'ESTIMATIVA DE HORAS TÉCNICAS'!$F$947+'ESTIMATIVA DE HORAS TÉCNICAS'!Q846*'ESTIMATIVA DE HORAS TÉCNICAS'!F$953+'ESTIMATIVA DE HORAS TÉCNICAS'!R846*'ESTIMATIVA DE HORAS TÉCNICAS'!F$954</f>
        <v>1239.5927056302071</v>
      </c>
      <c r="E838" s="411">
        <f>'CALCULO DO FATO K'!D$10</f>
        <v>2.3175723620309046</v>
      </c>
      <c r="F838" s="714"/>
      <c r="G838" s="714"/>
      <c r="H838" s="411">
        <f t="shared" si="57"/>
        <v>2872.8457947436787</v>
      </c>
      <c r="I838" s="416">
        <f>SUM(H831:H838)</f>
        <v>28647.615679906387</v>
      </c>
      <c r="J838" s="767"/>
    </row>
    <row r="839" spans="1:10" s="532" customFormat="1" ht="15.75">
      <c r="A839" s="426"/>
      <c r="B839" s="768"/>
      <c r="C839" s="410"/>
      <c r="D839" s="787"/>
      <c r="E839" s="411"/>
      <c r="F839" s="714"/>
      <c r="G839" s="714"/>
      <c r="H839" s="411"/>
      <c r="I839" s="416"/>
      <c r="J839" s="767"/>
    </row>
    <row r="840" spans="1:10" s="318" customFormat="1" ht="15.75">
      <c r="A840" s="426"/>
      <c r="B840" s="768"/>
      <c r="C840" s="409"/>
      <c r="D840" s="787"/>
      <c r="E840" s="411"/>
      <c r="F840" s="714"/>
      <c r="G840" s="714"/>
      <c r="H840" s="411"/>
      <c r="I840" s="416"/>
      <c r="J840" s="767"/>
    </row>
    <row r="841" spans="1:10" ht="15.75">
      <c r="A841" s="391" t="s">
        <v>798</v>
      </c>
      <c r="B841" s="427" t="s">
        <v>259</v>
      </c>
      <c r="C841" s="478"/>
      <c r="D841" s="796"/>
      <c r="E841" s="475"/>
      <c r="F841" s="475"/>
      <c r="G841" s="475"/>
      <c r="H841" s="475"/>
      <c r="I841" s="476"/>
      <c r="J841" s="767"/>
    </row>
    <row r="842" spans="1:10" ht="15.75">
      <c r="A842" s="426" t="s">
        <v>799</v>
      </c>
      <c r="B842" s="428" t="s">
        <v>326</v>
      </c>
      <c r="C842" s="410"/>
      <c r="D842" s="787">
        <f>'ESTIMATIVA DE HORAS TÉCNICAS'!F850*'ESTIMATIVA DE HORAS TÉCNICAS'!F$943+'ESTIMATIVA DE HORAS TÉCNICAS'!G850*'ESTIMATIVA DE HORAS TÉCNICAS'!F$942+'ESTIMATIVA DE HORAS TÉCNICAS'!H850*'ESTIMATIVA DE HORAS TÉCNICAS'!F$941+'ESTIMATIVA DE HORAS TÉCNICAS'!I850*'ESTIMATIVA DE HORAS TÉCNICAS'!F$945+'ESTIMATIVA DE HORAS TÉCNICAS'!J850*'ESTIMATIVA DE HORAS TÉCNICAS'!F$946+'ESTIMATIVA DE HORAS TÉCNICAS'!K850*'ESTIMATIVA DE HORAS TÉCNICAS'!$F$944+'ESTIMATIVA DE HORAS TÉCNICAS'!L850*'ESTIMATIVA DE HORAS TÉCNICAS'!F$951+'ESTIMATIVA DE HORAS TÉCNICAS'!M850*'ESTIMATIVA DE HORAS TÉCNICAS'!F$950+'ESTIMATIVA DE HORAS TÉCNICAS'!N850*'ESTIMATIVA DE HORAS TÉCNICAS'!F$949+'ESTIMATIVA DE HORAS TÉCNICAS'!O850*'ESTIMATIVA DE HORAS TÉCNICAS'!F$948+'ESTIMATIVA DE HORAS TÉCNICAS'!P850*'ESTIMATIVA DE HORAS TÉCNICAS'!$F$947+'ESTIMATIVA DE HORAS TÉCNICAS'!Q850*'ESTIMATIVA DE HORAS TÉCNICAS'!F$953+'ESTIMATIVA DE HORAS TÉCNICAS'!R850*'ESTIMATIVA DE HORAS TÉCNICAS'!F$954</f>
        <v>7504.3655090719985</v>
      </c>
      <c r="E842" s="411">
        <f>'CALCULO DO FATO K'!D$10</f>
        <v>2.3175723620309046</v>
      </c>
      <c r="F842" s="714"/>
      <c r="G842" s="714"/>
      <c r="H842" s="411">
        <f>D842*E842</f>
        <v>17391.910098403245</v>
      </c>
      <c r="I842" s="416"/>
      <c r="J842" s="767"/>
    </row>
    <row r="843" spans="1:10" ht="15.75">
      <c r="A843" s="426" t="s">
        <v>800</v>
      </c>
      <c r="B843" s="428" t="s">
        <v>135</v>
      </c>
      <c r="C843" s="410"/>
      <c r="D843" s="787">
        <f>'ESTIMATIVA DE HORAS TÉCNICAS'!F851*'ESTIMATIVA DE HORAS TÉCNICAS'!F$943+'ESTIMATIVA DE HORAS TÉCNICAS'!G851*'ESTIMATIVA DE HORAS TÉCNICAS'!F$942+'ESTIMATIVA DE HORAS TÉCNICAS'!H851*'ESTIMATIVA DE HORAS TÉCNICAS'!F$941+'ESTIMATIVA DE HORAS TÉCNICAS'!I851*'ESTIMATIVA DE HORAS TÉCNICAS'!F$945+'ESTIMATIVA DE HORAS TÉCNICAS'!J851*'ESTIMATIVA DE HORAS TÉCNICAS'!F$946+'ESTIMATIVA DE HORAS TÉCNICAS'!K851*'ESTIMATIVA DE HORAS TÉCNICAS'!$F$944+'ESTIMATIVA DE HORAS TÉCNICAS'!L851*'ESTIMATIVA DE HORAS TÉCNICAS'!F$951+'ESTIMATIVA DE HORAS TÉCNICAS'!M851*'ESTIMATIVA DE HORAS TÉCNICAS'!F$950+'ESTIMATIVA DE HORAS TÉCNICAS'!N851*'ESTIMATIVA DE HORAS TÉCNICAS'!F$949+'ESTIMATIVA DE HORAS TÉCNICAS'!O851*'ESTIMATIVA DE HORAS TÉCNICAS'!F$948+'ESTIMATIVA DE HORAS TÉCNICAS'!P851*'ESTIMATIVA DE HORAS TÉCNICAS'!$F$947+'ESTIMATIVA DE HORAS TÉCNICAS'!Q851*'ESTIMATIVA DE HORAS TÉCNICAS'!F$953+'ESTIMATIVA DE HORAS TÉCNICAS'!R851*'ESTIMATIVA DE HORAS TÉCNICAS'!F$954</f>
        <v>6743.0493129025144</v>
      </c>
      <c r="E843" s="411">
        <f>'CALCULO DO FATO K'!D$10</f>
        <v>2.3175723620309046</v>
      </c>
      <c r="F843" s="714"/>
      <c r="G843" s="714"/>
      <c r="H843" s="411">
        <f t="shared" ref="H843:H849" si="58">D843*E843</f>
        <v>15627.504723394348</v>
      </c>
      <c r="I843" s="416"/>
      <c r="J843" s="767"/>
    </row>
    <row r="844" spans="1:10" ht="15.75">
      <c r="A844" s="426" t="s">
        <v>801</v>
      </c>
      <c r="B844" s="428" t="s">
        <v>112</v>
      </c>
      <c r="C844" s="410"/>
      <c r="D844" s="787">
        <f>'ESTIMATIVA DE HORAS TÉCNICAS'!F852*'ESTIMATIVA DE HORAS TÉCNICAS'!F$943+'ESTIMATIVA DE HORAS TÉCNICAS'!G852*'ESTIMATIVA DE HORAS TÉCNICAS'!F$942+'ESTIMATIVA DE HORAS TÉCNICAS'!H852*'ESTIMATIVA DE HORAS TÉCNICAS'!F$941+'ESTIMATIVA DE HORAS TÉCNICAS'!I852*'ESTIMATIVA DE HORAS TÉCNICAS'!F$945+'ESTIMATIVA DE HORAS TÉCNICAS'!J852*'ESTIMATIVA DE HORAS TÉCNICAS'!F$946+'ESTIMATIVA DE HORAS TÉCNICAS'!K852*'ESTIMATIVA DE HORAS TÉCNICAS'!$F$944+'ESTIMATIVA DE HORAS TÉCNICAS'!L852*'ESTIMATIVA DE HORAS TÉCNICAS'!F$951+'ESTIMATIVA DE HORAS TÉCNICAS'!M852*'ESTIMATIVA DE HORAS TÉCNICAS'!F$950+'ESTIMATIVA DE HORAS TÉCNICAS'!N852*'ESTIMATIVA DE HORAS TÉCNICAS'!F$949+'ESTIMATIVA DE HORAS TÉCNICAS'!O852*'ESTIMATIVA DE HORAS TÉCNICAS'!F$948+'ESTIMATIVA DE HORAS TÉCNICAS'!P852*'ESTIMATIVA DE HORAS TÉCNICAS'!$F$947+'ESTIMATIVA DE HORAS TÉCNICAS'!Q852*'ESTIMATIVA DE HORAS TÉCNICAS'!F$953+'ESTIMATIVA DE HORAS TÉCNICAS'!R852*'ESTIMATIVA DE HORAS TÉCNICAS'!F$954</f>
        <v>13420.471722891692</v>
      </c>
      <c r="E844" s="411">
        <f>'CALCULO DO FATO K'!D$10</f>
        <v>2.3175723620309046</v>
      </c>
      <c r="F844" s="714"/>
      <c r="G844" s="714"/>
      <c r="H844" s="411">
        <f t="shared" si="58"/>
        <v>31102.914350391064</v>
      </c>
      <c r="I844" s="416"/>
      <c r="J844" s="767"/>
    </row>
    <row r="845" spans="1:10" ht="15.75">
      <c r="A845" s="426" t="s">
        <v>802</v>
      </c>
      <c r="B845" s="428" t="s">
        <v>152</v>
      </c>
      <c r="C845" s="410"/>
      <c r="D845" s="787">
        <f>'ESTIMATIVA DE HORAS TÉCNICAS'!F853*'ESTIMATIVA DE HORAS TÉCNICAS'!F$943+'ESTIMATIVA DE HORAS TÉCNICAS'!G853*'ESTIMATIVA DE HORAS TÉCNICAS'!F$942+'ESTIMATIVA DE HORAS TÉCNICAS'!H853*'ESTIMATIVA DE HORAS TÉCNICAS'!F$941+'ESTIMATIVA DE HORAS TÉCNICAS'!I853*'ESTIMATIVA DE HORAS TÉCNICAS'!F$945+'ESTIMATIVA DE HORAS TÉCNICAS'!J853*'ESTIMATIVA DE HORAS TÉCNICAS'!F$946+'ESTIMATIVA DE HORAS TÉCNICAS'!K853*'ESTIMATIVA DE HORAS TÉCNICAS'!$F$944+'ESTIMATIVA DE HORAS TÉCNICAS'!L853*'ESTIMATIVA DE HORAS TÉCNICAS'!F$951+'ESTIMATIVA DE HORAS TÉCNICAS'!M853*'ESTIMATIVA DE HORAS TÉCNICAS'!F$950+'ESTIMATIVA DE HORAS TÉCNICAS'!N853*'ESTIMATIVA DE HORAS TÉCNICAS'!F$949+'ESTIMATIVA DE HORAS TÉCNICAS'!O853*'ESTIMATIVA DE HORAS TÉCNICAS'!F$948+'ESTIMATIVA DE HORAS TÉCNICAS'!P853*'ESTIMATIVA DE HORAS TÉCNICAS'!$F$947+'ESTIMATIVA DE HORAS TÉCNICAS'!Q853*'ESTIMATIVA DE HORAS TÉCNICAS'!F$953+'ESTIMATIVA DE HORAS TÉCNICAS'!R853*'ESTIMATIVA DE HORAS TÉCNICAS'!F$954</f>
        <v>9764.9055267222084</v>
      </c>
      <c r="E845" s="411">
        <f>'CALCULO DO FATO K'!D$10</f>
        <v>2.3175723620309046</v>
      </c>
      <c r="F845" s="714"/>
      <c r="G845" s="714"/>
      <c r="H845" s="411">
        <f t="shared" si="58"/>
        <v>22630.875166574224</v>
      </c>
      <c r="I845" s="416"/>
      <c r="J845" s="767"/>
    </row>
    <row r="846" spans="1:10" ht="15.75">
      <c r="A846" s="426" t="s">
        <v>803</v>
      </c>
      <c r="B846" s="428" t="s">
        <v>105</v>
      </c>
      <c r="C846" s="410"/>
      <c r="D846" s="787">
        <f>'ESTIMATIVA DE HORAS TÉCNICAS'!F854*'ESTIMATIVA DE HORAS TÉCNICAS'!F$943+'ESTIMATIVA DE HORAS TÉCNICAS'!G854*'ESTIMATIVA DE HORAS TÉCNICAS'!F$942+'ESTIMATIVA DE HORAS TÉCNICAS'!H854*'ESTIMATIVA DE HORAS TÉCNICAS'!F$941+'ESTIMATIVA DE HORAS TÉCNICAS'!I854*'ESTIMATIVA DE HORAS TÉCNICAS'!F$945+'ESTIMATIVA DE HORAS TÉCNICAS'!J854*'ESTIMATIVA DE HORAS TÉCNICAS'!F$946+'ESTIMATIVA DE HORAS TÉCNICAS'!K854*'ESTIMATIVA DE HORAS TÉCNICAS'!$F$944+'ESTIMATIVA DE HORAS TÉCNICAS'!L854*'ESTIMATIVA DE HORAS TÉCNICAS'!F$951+'ESTIMATIVA DE HORAS TÉCNICAS'!M854*'ESTIMATIVA DE HORAS TÉCNICAS'!F$950+'ESTIMATIVA DE HORAS TÉCNICAS'!N854*'ESTIMATIVA DE HORAS TÉCNICAS'!F$949+'ESTIMATIVA DE HORAS TÉCNICAS'!O854*'ESTIMATIVA DE HORAS TÉCNICAS'!F$948+'ESTIMATIVA DE HORAS TÉCNICAS'!P854*'ESTIMATIVA DE HORAS TÉCNICAS'!$F$947+'ESTIMATIVA DE HORAS TÉCNICAS'!Q854*'ESTIMATIVA DE HORAS TÉCNICAS'!F$953+'ESTIMATIVA DE HORAS TÉCNICAS'!R854*'ESTIMATIVA DE HORAS TÉCNICAS'!F$954</f>
        <v>13942.245385205342</v>
      </c>
      <c r="E846" s="411">
        <f>'CALCULO DO FATO K'!D$10</f>
        <v>2.3175723620309046</v>
      </c>
      <c r="F846" s="714"/>
      <c r="G846" s="714"/>
      <c r="H846" s="411">
        <f t="shared" si="58"/>
        <v>32312.162569404823</v>
      </c>
      <c r="I846" s="416"/>
      <c r="J846" s="767"/>
    </row>
    <row r="847" spans="1:10" ht="15.75">
      <c r="A847" s="426" t="s">
        <v>804</v>
      </c>
      <c r="B847" s="428" t="s">
        <v>595</v>
      </c>
      <c r="C847" s="410"/>
      <c r="D847" s="787">
        <f>'ESTIMATIVA DE HORAS TÉCNICAS'!F855*'ESTIMATIVA DE HORAS TÉCNICAS'!F$943+'ESTIMATIVA DE HORAS TÉCNICAS'!G855*'ESTIMATIVA DE HORAS TÉCNICAS'!F$942+'ESTIMATIVA DE HORAS TÉCNICAS'!H855*'ESTIMATIVA DE HORAS TÉCNICAS'!F$941+'ESTIMATIVA DE HORAS TÉCNICAS'!I855*'ESTIMATIVA DE HORAS TÉCNICAS'!F$945+'ESTIMATIVA DE HORAS TÉCNICAS'!J855*'ESTIMATIVA DE HORAS TÉCNICAS'!F$946+'ESTIMATIVA DE HORAS TÉCNICAS'!K855*'ESTIMATIVA DE HORAS TÉCNICAS'!$F$944+'ESTIMATIVA DE HORAS TÉCNICAS'!L855*'ESTIMATIVA DE HORAS TÉCNICAS'!F$951+'ESTIMATIVA DE HORAS TÉCNICAS'!M855*'ESTIMATIVA DE HORAS TÉCNICAS'!F$950+'ESTIMATIVA DE HORAS TÉCNICAS'!N855*'ESTIMATIVA DE HORAS TÉCNICAS'!F$949+'ESTIMATIVA DE HORAS TÉCNICAS'!O855*'ESTIMATIVA DE HORAS TÉCNICAS'!F$948+'ESTIMATIVA DE HORAS TÉCNICAS'!P855*'ESTIMATIVA DE HORAS TÉCNICAS'!$F$947+'ESTIMATIVA DE HORAS TÉCNICAS'!Q855*'ESTIMATIVA DE HORAS TÉCNICAS'!F$953+'ESTIMATIVA DE HORAS TÉCNICAS'!R855*'ESTIMATIVA DE HORAS TÉCNICAS'!F$954</f>
        <v>10143.320550938717</v>
      </c>
      <c r="E847" s="411">
        <f>'CALCULO DO FATO K'!D$10</f>
        <v>2.3175723620309046</v>
      </c>
      <c r="F847" s="714"/>
      <c r="G847" s="714"/>
      <c r="H847" s="411">
        <f t="shared" si="58"/>
        <v>23507.879368075657</v>
      </c>
      <c r="I847" s="416"/>
      <c r="J847" s="767"/>
    </row>
    <row r="848" spans="1:10" ht="15.75">
      <c r="A848" s="426" t="s">
        <v>805</v>
      </c>
      <c r="B848" s="428" t="s">
        <v>597</v>
      </c>
      <c r="C848" s="410"/>
      <c r="D848" s="787">
        <f>'ESTIMATIVA DE HORAS TÉCNICAS'!F856*'ESTIMATIVA DE HORAS TÉCNICAS'!F$943+'ESTIMATIVA DE HORAS TÉCNICAS'!G856*'ESTIMATIVA DE HORAS TÉCNICAS'!F$942+'ESTIMATIVA DE HORAS TÉCNICAS'!H856*'ESTIMATIVA DE HORAS TÉCNICAS'!F$941+'ESTIMATIVA DE HORAS TÉCNICAS'!I856*'ESTIMATIVA DE HORAS TÉCNICAS'!F$945+'ESTIMATIVA DE HORAS TÉCNICAS'!J856*'ESTIMATIVA DE HORAS TÉCNICAS'!F$946+'ESTIMATIVA DE HORAS TÉCNICAS'!K856*'ESTIMATIVA DE HORAS TÉCNICAS'!$F$944+'ESTIMATIVA DE HORAS TÉCNICAS'!L856*'ESTIMATIVA DE HORAS TÉCNICAS'!F$951+'ESTIMATIVA DE HORAS TÉCNICAS'!M856*'ESTIMATIVA DE HORAS TÉCNICAS'!F$950+'ESTIMATIVA DE HORAS TÉCNICAS'!N856*'ESTIMATIVA DE HORAS TÉCNICAS'!F$949+'ESTIMATIVA DE HORAS TÉCNICAS'!O856*'ESTIMATIVA DE HORAS TÉCNICAS'!F$948+'ESTIMATIVA DE HORAS TÉCNICAS'!P856*'ESTIMATIVA DE HORAS TÉCNICAS'!$F$947+'ESTIMATIVA DE HORAS TÉCNICAS'!Q856*'ESTIMATIVA DE HORAS TÉCNICAS'!F$953+'ESTIMATIVA DE HORAS TÉCNICAS'!R856*'ESTIMATIVA DE HORAS TÉCNICAS'!F$954</f>
        <v>469.4521080445038</v>
      </c>
      <c r="E848" s="411">
        <f>'CALCULO DO FATO K'!D$10</f>
        <v>2.3175723620309046</v>
      </c>
      <c r="F848" s="714"/>
      <c r="G848" s="714"/>
      <c r="H848" s="411">
        <f t="shared" si="58"/>
        <v>1087.9892309010881</v>
      </c>
      <c r="I848" s="416"/>
      <c r="J848" s="767"/>
    </row>
    <row r="849" spans="1:10" ht="15.75">
      <c r="A849" s="426" t="s">
        <v>788</v>
      </c>
      <c r="B849" s="768" t="s">
        <v>150</v>
      </c>
      <c r="C849" s="410"/>
      <c r="D849" s="787">
        <f>'ESTIMATIVA DE HORAS TÉCNICAS'!F857*'ESTIMATIVA DE HORAS TÉCNICAS'!F$943+'ESTIMATIVA DE HORAS TÉCNICAS'!G857*'ESTIMATIVA DE HORAS TÉCNICAS'!F$942+'ESTIMATIVA DE HORAS TÉCNICAS'!H857*'ESTIMATIVA DE HORAS TÉCNICAS'!F$941+'ESTIMATIVA DE HORAS TÉCNICAS'!I857*'ESTIMATIVA DE HORAS TÉCNICAS'!F$945+'ESTIMATIVA DE HORAS TÉCNICAS'!J857*'ESTIMATIVA DE HORAS TÉCNICAS'!F$946+'ESTIMATIVA DE HORAS TÉCNICAS'!K857*'ESTIMATIVA DE HORAS TÉCNICAS'!$F$944+'ESTIMATIVA DE HORAS TÉCNICAS'!L857*'ESTIMATIVA DE HORAS TÉCNICAS'!F$951+'ESTIMATIVA DE HORAS TÉCNICAS'!M857*'ESTIMATIVA DE HORAS TÉCNICAS'!F$950+'ESTIMATIVA DE HORAS TÉCNICAS'!N857*'ESTIMATIVA DE HORAS TÉCNICAS'!F$949+'ESTIMATIVA DE HORAS TÉCNICAS'!O857*'ESTIMATIVA DE HORAS TÉCNICAS'!F$948+'ESTIMATIVA DE HORAS TÉCNICAS'!P857*'ESTIMATIVA DE HORAS TÉCNICAS'!$F$947+'ESTIMATIVA DE HORAS TÉCNICAS'!Q857*'ESTIMATIVA DE HORAS TÉCNICAS'!F$953+'ESTIMATIVA DE HORAS TÉCNICAS'!R857*'ESTIMATIVA DE HORAS TÉCNICAS'!F$954</f>
        <v>6766.9328005000889</v>
      </c>
      <c r="E849" s="411">
        <f>'CALCULO DO FATO K'!D$10</f>
        <v>2.3175723620309046</v>
      </c>
      <c r="F849" s="714"/>
      <c r="G849" s="714"/>
      <c r="H849" s="411">
        <f t="shared" si="58"/>
        <v>15682.856434159396</v>
      </c>
      <c r="I849" s="416">
        <f>SUM(H842:H849)</f>
        <v>159344.09194130384</v>
      </c>
      <c r="J849" s="767"/>
    </row>
    <row r="850" spans="1:10" s="532" customFormat="1" ht="15.75">
      <c r="A850" s="426"/>
      <c r="B850" s="768"/>
      <c r="C850" s="410"/>
      <c r="D850" s="787"/>
      <c r="E850" s="411"/>
      <c r="F850" s="714"/>
      <c r="G850" s="714"/>
      <c r="H850" s="411"/>
      <c r="I850" s="416"/>
      <c r="J850" s="767"/>
    </row>
    <row r="851" spans="1:10" s="318" customFormat="1" ht="15.75">
      <c r="A851" s="426"/>
      <c r="B851" s="768"/>
      <c r="C851" s="410"/>
      <c r="D851" s="787"/>
      <c r="E851" s="411"/>
      <c r="F851" s="714"/>
      <c r="G851" s="714"/>
      <c r="H851" s="411"/>
      <c r="I851" s="416"/>
      <c r="J851" s="767"/>
    </row>
    <row r="852" spans="1:10" ht="15.75">
      <c r="A852" s="391" t="s">
        <v>806</v>
      </c>
      <c r="B852" s="412" t="s">
        <v>266</v>
      </c>
      <c r="C852" s="474"/>
      <c r="D852" s="796"/>
      <c r="E852" s="475"/>
      <c r="F852" s="475"/>
      <c r="G852" s="475"/>
      <c r="H852" s="475"/>
      <c r="I852" s="476"/>
      <c r="J852" s="767"/>
    </row>
    <row r="853" spans="1:10" ht="15.75">
      <c r="A853" s="426" t="s">
        <v>807</v>
      </c>
      <c r="B853" s="428" t="s">
        <v>326</v>
      </c>
      <c r="C853" s="409"/>
      <c r="D853" s="787">
        <f>'ESTIMATIVA DE HORAS TÉCNICAS'!F861*'ESTIMATIVA DE HORAS TÉCNICAS'!F$943+'ESTIMATIVA DE HORAS TÉCNICAS'!G861*'ESTIMATIVA DE HORAS TÉCNICAS'!F$942+'ESTIMATIVA DE HORAS TÉCNICAS'!H861*'ESTIMATIVA DE HORAS TÉCNICAS'!F$941+'ESTIMATIVA DE HORAS TÉCNICAS'!I861*'ESTIMATIVA DE HORAS TÉCNICAS'!F$945+'ESTIMATIVA DE HORAS TÉCNICAS'!J861*'ESTIMATIVA DE HORAS TÉCNICAS'!F$946+'ESTIMATIVA DE HORAS TÉCNICAS'!K861*'ESTIMATIVA DE HORAS TÉCNICAS'!$F$944+'ESTIMATIVA DE HORAS TÉCNICAS'!L861*'ESTIMATIVA DE HORAS TÉCNICAS'!F$951+'ESTIMATIVA DE HORAS TÉCNICAS'!M861*'ESTIMATIVA DE HORAS TÉCNICAS'!F$950+'ESTIMATIVA DE HORAS TÉCNICAS'!N861*'ESTIMATIVA DE HORAS TÉCNICAS'!F$949+'ESTIMATIVA DE HORAS TÉCNICAS'!O861*'ESTIMATIVA DE HORAS TÉCNICAS'!F$948+'ESTIMATIVA DE HORAS TÉCNICAS'!P861*'ESTIMATIVA DE HORAS TÉCNICAS'!$F$947+'ESTIMATIVA DE HORAS TÉCNICAS'!Q861*'ESTIMATIVA DE HORAS TÉCNICAS'!F$953+'ESTIMATIVA DE HORAS TÉCNICAS'!R861*'ESTIMATIVA DE HORAS TÉCNICAS'!F$954</f>
        <v>1364.4182548354224</v>
      </c>
      <c r="E853" s="411">
        <f>'CALCULO DO FATO K'!D$10</f>
        <v>2.3175723620309046</v>
      </c>
      <c r="F853" s="714"/>
      <c r="G853" s="714"/>
      <c r="H853" s="411">
        <f>D853*E853</f>
        <v>3162.1380376570146</v>
      </c>
      <c r="I853" s="416"/>
      <c r="J853" s="767"/>
    </row>
    <row r="854" spans="1:10" ht="15.75">
      <c r="A854" s="426" t="s">
        <v>808</v>
      </c>
      <c r="B854" s="428" t="s">
        <v>135</v>
      </c>
      <c r="C854" s="409"/>
      <c r="D854" s="787">
        <f>'ESTIMATIVA DE HORAS TÉCNICAS'!F862*'ESTIMATIVA DE HORAS TÉCNICAS'!F$943+'ESTIMATIVA DE HORAS TÉCNICAS'!G862*'ESTIMATIVA DE HORAS TÉCNICAS'!F$942+'ESTIMATIVA DE HORAS TÉCNICAS'!H862*'ESTIMATIVA DE HORAS TÉCNICAS'!F$941+'ESTIMATIVA DE HORAS TÉCNICAS'!I862*'ESTIMATIVA DE HORAS TÉCNICAS'!F$945+'ESTIMATIVA DE HORAS TÉCNICAS'!J862*'ESTIMATIVA DE HORAS TÉCNICAS'!F$946+'ESTIMATIVA DE HORAS TÉCNICAS'!K862*'ESTIMATIVA DE HORAS TÉCNICAS'!$F$944+'ESTIMATIVA DE HORAS TÉCNICAS'!L862*'ESTIMATIVA DE HORAS TÉCNICAS'!F$951+'ESTIMATIVA DE HORAS TÉCNICAS'!M862*'ESTIMATIVA DE HORAS TÉCNICAS'!F$950+'ESTIMATIVA DE HORAS TÉCNICAS'!N862*'ESTIMATIVA DE HORAS TÉCNICAS'!F$949+'ESTIMATIVA DE HORAS TÉCNICAS'!O862*'ESTIMATIVA DE HORAS TÉCNICAS'!F$948+'ESTIMATIVA DE HORAS TÉCNICAS'!P862*'ESTIMATIVA DE HORAS TÉCNICAS'!$F$947+'ESTIMATIVA DE HORAS TÉCNICAS'!Q862*'ESTIMATIVA DE HORAS TÉCNICAS'!F$953+'ESTIMATIVA DE HORAS TÉCNICAS'!R862*'ESTIMATIVA DE HORAS TÉCNICAS'!F$954</f>
        <v>990.35966506624084</v>
      </c>
      <c r="E854" s="411">
        <f>'CALCULO DO FATO K'!D$10</f>
        <v>2.3175723620309046</v>
      </c>
      <c r="F854" s="714"/>
      <c r="G854" s="714"/>
      <c r="H854" s="411">
        <f t="shared" ref="H854:H860" si="59">D854*E854</f>
        <v>2295.2301882277034</v>
      </c>
      <c r="I854" s="416"/>
      <c r="J854" s="767"/>
    </row>
    <row r="855" spans="1:10" ht="15.75">
      <c r="A855" s="426" t="s">
        <v>809</v>
      </c>
      <c r="B855" s="428" t="s">
        <v>112</v>
      </c>
      <c r="C855" s="409"/>
      <c r="D855" s="787">
        <f>'ESTIMATIVA DE HORAS TÉCNICAS'!F863*'ESTIMATIVA DE HORAS TÉCNICAS'!F$943+'ESTIMATIVA DE HORAS TÉCNICAS'!G863*'ESTIMATIVA DE HORAS TÉCNICAS'!F$942+'ESTIMATIVA DE HORAS TÉCNICAS'!H863*'ESTIMATIVA DE HORAS TÉCNICAS'!F$941+'ESTIMATIVA DE HORAS TÉCNICAS'!I863*'ESTIMATIVA DE HORAS TÉCNICAS'!F$945+'ESTIMATIVA DE HORAS TÉCNICAS'!J863*'ESTIMATIVA DE HORAS TÉCNICAS'!F$946+'ESTIMATIVA DE HORAS TÉCNICAS'!K863*'ESTIMATIVA DE HORAS TÉCNICAS'!$F$944+'ESTIMATIVA DE HORAS TÉCNICAS'!L863*'ESTIMATIVA DE HORAS TÉCNICAS'!F$951+'ESTIMATIVA DE HORAS TÉCNICAS'!M863*'ESTIMATIVA DE HORAS TÉCNICAS'!F$950+'ESTIMATIVA DE HORAS TÉCNICAS'!N863*'ESTIMATIVA DE HORAS TÉCNICAS'!F$949+'ESTIMATIVA DE HORAS TÉCNICAS'!O863*'ESTIMATIVA DE HORAS TÉCNICAS'!F$948+'ESTIMATIVA DE HORAS TÉCNICAS'!P863*'ESTIMATIVA DE HORAS TÉCNICAS'!$F$947+'ESTIMATIVA DE HORAS TÉCNICAS'!Q863*'ESTIMATIVA DE HORAS TÉCNICAS'!F$953+'ESTIMATIVA DE HORAS TÉCNICAS'!R863*'ESTIMATIVA DE HORAS TÉCNICAS'!F$954</f>
        <v>630.10419139972487</v>
      </c>
      <c r="E855" s="411">
        <f>'CALCULO DO FATO K'!D$10</f>
        <v>2.3175723620309046</v>
      </c>
      <c r="F855" s="714"/>
      <c r="G855" s="714"/>
      <c r="H855" s="411">
        <f t="shared" si="59"/>
        <v>1460.3120591878335</v>
      </c>
      <c r="I855" s="416"/>
      <c r="J855" s="767"/>
    </row>
    <row r="856" spans="1:10" ht="15.75">
      <c r="A856" s="426" t="s">
        <v>810</v>
      </c>
      <c r="B856" s="428" t="s">
        <v>152</v>
      </c>
      <c r="C856" s="409"/>
      <c r="D856" s="787">
        <f>'ESTIMATIVA DE HORAS TÉCNICAS'!F864*'ESTIMATIVA DE HORAS TÉCNICAS'!F$943+'ESTIMATIVA DE HORAS TÉCNICAS'!G864*'ESTIMATIVA DE HORAS TÉCNICAS'!F$942+'ESTIMATIVA DE HORAS TÉCNICAS'!H864*'ESTIMATIVA DE HORAS TÉCNICAS'!F$941+'ESTIMATIVA DE HORAS TÉCNICAS'!I864*'ESTIMATIVA DE HORAS TÉCNICAS'!F$945+'ESTIMATIVA DE HORAS TÉCNICAS'!J864*'ESTIMATIVA DE HORAS TÉCNICAS'!F$946+'ESTIMATIVA DE HORAS TÉCNICAS'!K864*'ESTIMATIVA DE HORAS TÉCNICAS'!$F$944+'ESTIMATIVA DE HORAS TÉCNICAS'!L864*'ESTIMATIVA DE HORAS TÉCNICAS'!F$951+'ESTIMATIVA DE HORAS TÉCNICAS'!M864*'ESTIMATIVA DE HORAS TÉCNICAS'!F$950+'ESTIMATIVA DE HORAS TÉCNICAS'!N864*'ESTIMATIVA DE HORAS TÉCNICAS'!F$949+'ESTIMATIVA DE HORAS TÉCNICAS'!O864*'ESTIMATIVA DE HORAS TÉCNICAS'!F$948+'ESTIMATIVA DE HORAS TÉCNICAS'!P864*'ESTIMATIVA DE HORAS TÉCNICAS'!$F$947+'ESTIMATIVA DE HORAS TÉCNICAS'!Q864*'ESTIMATIVA DE HORAS TÉCNICAS'!F$953+'ESTIMATIVA DE HORAS TÉCNICAS'!R864*'ESTIMATIVA DE HORAS TÉCNICAS'!F$954</f>
        <v>370.62343590767262</v>
      </c>
      <c r="E856" s="411">
        <f>'CALCULO DO FATO K'!D$10</f>
        <v>2.3175723620309046</v>
      </c>
      <c r="F856" s="714"/>
      <c r="G856" s="714"/>
      <c r="H856" s="411">
        <f t="shared" si="59"/>
        <v>858.94663178055441</v>
      </c>
      <c r="I856" s="416"/>
      <c r="J856" s="767"/>
    </row>
    <row r="857" spans="1:10" ht="15.75">
      <c r="A857" s="426" t="s">
        <v>811</v>
      </c>
      <c r="B857" s="428" t="s">
        <v>105</v>
      </c>
      <c r="C857" s="409"/>
      <c r="D857" s="787">
        <f>'ESTIMATIVA DE HORAS TÉCNICAS'!F865*'ESTIMATIVA DE HORAS TÉCNICAS'!F$943+'ESTIMATIVA DE HORAS TÉCNICAS'!G865*'ESTIMATIVA DE HORAS TÉCNICAS'!F$942+'ESTIMATIVA DE HORAS TÉCNICAS'!H865*'ESTIMATIVA DE HORAS TÉCNICAS'!F$941+'ESTIMATIVA DE HORAS TÉCNICAS'!I865*'ESTIMATIVA DE HORAS TÉCNICAS'!F$945+'ESTIMATIVA DE HORAS TÉCNICAS'!J865*'ESTIMATIVA DE HORAS TÉCNICAS'!F$946+'ESTIMATIVA DE HORAS TÉCNICAS'!K865*'ESTIMATIVA DE HORAS TÉCNICAS'!$F$944+'ESTIMATIVA DE HORAS TÉCNICAS'!L865*'ESTIMATIVA DE HORAS TÉCNICAS'!F$951+'ESTIMATIVA DE HORAS TÉCNICAS'!M865*'ESTIMATIVA DE HORAS TÉCNICAS'!F$950+'ESTIMATIVA DE HORAS TÉCNICAS'!N865*'ESTIMATIVA DE HORAS TÉCNICAS'!F$949+'ESTIMATIVA DE HORAS TÉCNICAS'!O865*'ESTIMATIVA DE HORAS TÉCNICAS'!F$948+'ESTIMATIVA DE HORAS TÉCNICAS'!P865*'ESTIMATIVA DE HORAS TÉCNICAS'!$F$947+'ESTIMATIVA DE HORAS TÉCNICAS'!Q865*'ESTIMATIVA DE HORAS TÉCNICAS'!F$953+'ESTIMATIVA DE HORAS TÉCNICAS'!R865*'ESTIMATIVA DE HORAS TÉCNICAS'!F$954</f>
        <v>2462.7349907546518</v>
      </c>
      <c r="E857" s="411">
        <f>'CALCULO DO FATO K'!D$10</f>
        <v>2.3175723620309046</v>
      </c>
      <c r="F857" s="714"/>
      <c r="G857" s="714"/>
      <c r="H857" s="411">
        <f t="shared" si="59"/>
        <v>5707.5665495794165</v>
      </c>
      <c r="I857" s="416"/>
      <c r="J857" s="767"/>
    </row>
    <row r="858" spans="1:10" ht="15.75">
      <c r="A858" s="426" t="s">
        <v>812</v>
      </c>
      <c r="B858" s="428" t="s">
        <v>595</v>
      </c>
      <c r="C858" s="409"/>
      <c r="D858" s="787">
        <f>'ESTIMATIVA DE HORAS TÉCNICAS'!F866*'ESTIMATIVA DE HORAS TÉCNICAS'!F$943+'ESTIMATIVA DE HORAS TÉCNICAS'!G866*'ESTIMATIVA DE HORAS TÉCNICAS'!F$942+'ESTIMATIVA DE HORAS TÉCNICAS'!H866*'ESTIMATIVA DE HORAS TÉCNICAS'!F$941+'ESTIMATIVA DE HORAS TÉCNICAS'!I866*'ESTIMATIVA DE HORAS TÉCNICAS'!F$945+'ESTIMATIVA DE HORAS TÉCNICAS'!J866*'ESTIMATIVA DE HORAS TÉCNICAS'!F$946+'ESTIMATIVA DE HORAS TÉCNICAS'!K866*'ESTIMATIVA DE HORAS TÉCNICAS'!$F$944+'ESTIMATIVA DE HORAS TÉCNICAS'!L866*'ESTIMATIVA DE HORAS TÉCNICAS'!F$951+'ESTIMATIVA DE HORAS TÉCNICAS'!M866*'ESTIMATIVA DE HORAS TÉCNICAS'!F$950+'ESTIMATIVA DE HORAS TÉCNICAS'!N866*'ESTIMATIVA DE HORAS TÉCNICAS'!F$949+'ESTIMATIVA DE HORAS TÉCNICAS'!O866*'ESTIMATIVA DE HORAS TÉCNICAS'!F$948+'ESTIMATIVA DE HORAS TÉCNICAS'!P866*'ESTIMATIVA DE HORAS TÉCNICAS'!$F$947+'ESTIMATIVA DE HORAS TÉCNICAS'!Q866*'ESTIMATIVA DE HORAS TÉCNICAS'!F$953+'ESTIMATIVA DE HORAS TÉCNICAS'!R866*'ESTIMATIVA DE HORAS TÉCNICAS'!F$954</f>
        <v>2313.1115548469793</v>
      </c>
      <c r="E858" s="411">
        <f>'CALCULO DO FATO K'!D$10</f>
        <v>2.3175723620309046</v>
      </c>
      <c r="F858" s="714"/>
      <c r="G858" s="714"/>
      <c r="H858" s="411">
        <f t="shared" si="59"/>
        <v>5360.8034098076923</v>
      </c>
      <c r="I858" s="416"/>
      <c r="J858" s="767"/>
    </row>
    <row r="859" spans="1:10" ht="15.75">
      <c r="A859" s="426" t="s">
        <v>813</v>
      </c>
      <c r="B859" s="428" t="s">
        <v>597</v>
      </c>
      <c r="C859" s="410"/>
      <c r="D859" s="787">
        <f>'ESTIMATIVA DE HORAS TÉCNICAS'!F867*'ESTIMATIVA DE HORAS TÉCNICAS'!F$943+'ESTIMATIVA DE HORAS TÉCNICAS'!G867*'ESTIMATIVA DE HORAS TÉCNICAS'!F$942+'ESTIMATIVA DE HORAS TÉCNICAS'!H867*'ESTIMATIVA DE HORAS TÉCNICAS'!F$941+'ESTIMATIVA DE HORAS TÉCNICAS'!I867*'ESTIMATIVA DE HORAS TÉCNICAS'!F$945+'ESTIMATIVA DE HORAS TÉCNICAS'!J867*'ESTIMATIVA DE HORAS TÉCNICAS'!F$946+'ESTIMATIVA DE HORAS TÉCNICAS'!K867*'ESTIMATIVA DE HORAS TÉCNICAS'!$F$944+'ESTIMATIVA DE HORAS TÉCNICAS'!L867*'ESTIMATIVA DE HORAS TÉCNICAS'!F$951+'ESTIMATIVA DE HORAS TÉCNICAS'!M867*'ESTIMATIVA DE HORAS TÉCNICAS'!F$950+'ESTIMATIVA DE HORAS TÉCNICAS'!N867*'ESTIMATIVA DE HORAS TÉCNICAS'!F$949+'ESTIMATIVA DE HORAS TÉCNICAS'!O867*'ESTIMATIVA DE HORAS TÉCNICAS'!F$948+'ESTIMATIVA DE HORAS TÉCNICAS'!P867*'ESTIMATIVA DE HORAS TÉCNICAS'!$F$947+'ESTIMATIVA DE HORAS TÉCNICAS'!Q867*'ESTIMATIVA DE HORAS TÉCNICAS'!F$953+'ESTIMATIVA DE HORAS TÉCNICAS'!R867*'ESTIMATIVA DE HORAS TÉCNICAS'!F$954</f>
        <v>1512.5062051521804</v>
      </c>
      <c r="E859" s="411">
        <f>'CALCULO DO FATO K'!D$10</f>
        <v>2.3175723620309046</v>
      </c>
      <c r="F859" s="714"/>
      <c r="G859" s="714"/>
      <c r="H859" s="411">
        <f t="shared" si="59"/>
        <v>3505.3425784609385</v>
      </c>
      <c r="I859" s="416"/>
      <c r="J859" s="767"/>
    </row>
    <row r="860" spans="1:10" ht="15.75">
      <c r="A860" s="426" t="s">
        <v>814</v>
      </c>
      <c r="B860" s="768" t="s">
        <v>150</v>
      </c>
      <c r="C860" s="410"/>
      <c r="D860" s="787">
        <f>'ESTIMATIVA DE HORAS TÉCNICAS'!F868*'ESTIMATIVA DE HORAS TÉCNICAS'!F$943+'ESTIMATIVA DE HORAS TÉCNICAS'!G868*'ESTIMATIVA DE HORAS TÉCNICAS'!F$942+'ESTIMATIVA DE HORAS TÉCNICAS'!H868*'ESTIMATIVA DE HORAS TÉCNICAS'!F$941+'ESTIMATIVA DE HORAS TÉCNICAS'!I868*'ESTIMATIVA DE HORAS TÉCNICAS'!F$945+'ESTIMATIVA DE HORAS TÉCNICAS'!J868*'ESTIMATIVA DE HORAS TÉCNICAS'!F$946+'ESTIMATIVA DE HORAS TÉCNICAS'!K868*'ESTIMATIVA DE HORAS TÉCNICAS'!$F$944+'ESTIMATIVA DE HORAS TÉCNICAS'!L868*'ESTIMATIVA DE HORAS TÉCNICAS'!F$951+'ESTIMATIVA DE HORAS TÉCNICAS'!M868*'ESTIMATIVA DE HORAS TÉCNICAS'!F$950+'ESTIMATIVA DE HORAS TÉCNICAS'!N868*'ESTIMATIVA DE HORAS TÉCNICAS'!F$949+'ESTIMATIVA DE HORAS TÉCNICAS'!O868*'ESTIMATIVA DE HORAS TÉCNICAS'!F$948+'ESTIMATIVA DE HORAS TÉCNICAS'!P868*'ESTIMATIVA DE HORAS TÉCNICAS'!$F$947+'ESTIMATIVA DE HORAS TÉCNICAS'!Q868*'ESTIMATIVA DE HORAS TÉCNICAS'!F$953+'ESTIMATIVA DE HORAS TÉCNICAS'!R868*'ESTIMATIVA DE HORAS TÉCNICAS'!F$954</f>
        <v>1662.1296410598532</v>
      </c>
      <c r="E860" s="411">
        <f>'CALCULO DO FATO K'!D$10</f>
        <v>2.3175723620309046</v>
      </c>
      <c r="F860" s="714"/>
      <c r="G860" s="714"/>
      <c r="H860" s="411">
        <f t="shared" si="59"/>
        <v>3852.1057182326635</v>
      </c>
      <c r="I860" s="416">
        <f>SUM(H853:H860)</f>
        <v>26202.445172933818</v>
      </c>
      <c r="J860" s="767"/>
    </row>
    <row r="861" spans="1:10" s="318" customFormat="1" ht="15.75">
      <c r="A861" s="426"/>
      <c r="B861" s="768"/>
      <c r="C861" s="409"/>
      <c r="D861" s="787"/>
      <c r="E861" s="411"/>
      <c r="F861" s="714"/>
      <c r="G861" s="714"/>
      <c r="H861" s="411"/>
      <c r="I861" s="416"/>
      <c r="J861" s="767"/>
    </row>
    <row r="862" spans="1:10" s="403" customFormat="1" ht="15.75">
      <c r="A862" s="426"/>
      <c r="B862" s="768"/>
      <c r="C862" s="409"/>
      <c r="D862" s="787"/>
      <c r="E862" s="411"/>
      <c r="F862" s="714"/>
      <c r="G862" s="714"/>
      <c r="H862" s="411"/>
      <c r="I862" s="416"/>
      <c r="J862" s="767"/>
    </row>
    <row r="863" spans="1:10" s="403" customFormat="1" ht="15.75">
      <c r="A863" s="391" t="s">
        <v>815</v>
      </c>
      <c r="B863" s="418" t="s">
        <v>272</v>
      </c>
      <c r="C863" s="474"/>
      <c r="D863" s="796"/>
      <c r="E863" s="475"/>
      <c r="F863" s="475"/>
      <c r="G863" s="475"/>
      <c r="H863" s="475"/>
      <c r="I863" s="476"/>
      <c r="J863" s="767"/>
    </row>
    <row r="864" spans="1:10" s="403" customFormat="1" ht="15.75">
      <c r="A864" s="426" t="s">
        <v>816</v>
      </c>
      <c r="B864" s="428" t="s">
        <v>326</v>
      </c>
      <c r="C864" s="409"/>
      <c r="D864" s="787">
        <f>'ESTIMATIVA DE HORAS TÉCNICAS'!F872*'ESTIMATIVA DE HORAS TÉCNICAS'!F$943+'ESTIMATIVA DE HORAS TÉCNICAS'!G872*'ESTIMATIVA DE HORAS TÉCNICAS'!F$942+'ESTIMATIVA DE HORAS TÉCNICAS'!H872*'ESTIMATIVA DE HORAS TÉCNICAS'!F$941+'ESTIMATIVA DE HORAS TÉCNICAS'!I872*'ESTIMATIVA DE HORAS TÉCNICAS'!F$945+'ESTIMATIVA DE HORAS TÉCNICAS'!J872*'ESTIMATIVA DE HORAS TÉCNICAS'!F$946+'ESTIMATIVA DE HORAS TÉCNICAS'!K872*'ESTIMATIVA DE HORAS TÉCNICAS'!$F$944+'ESTIMATIVA DE HORAS TÉCNICAS'!L872*'ESTIMATIVA DE HORAS TÉCNICAS'!F$951+'ESTIMATIVA DE HORAS TÉCNICAS'!M872*'ESTIMATIVA DE HORAS TÉCNICAS'!F$950+'ESTIMATIVA DE HORAS TÉCNICAS'!N872*'ESTIMATIVA DE HORAS TÉCNICAS'!F$949+'ESTIMATIVA DE HORAS TÉCNICAS'!O872*'ESTIMATIVA DE HORAS TÉCNICAS'!F$948+'ESTIMATIVA DE HORAS TÉCNICAS'!P872*'ESTIMATIVA DE HORAS TÉCNICAS'!$F$947+'ESTIMATIVA DE HORAS TÉCNICAS'!Q872*'ESTIMATIVA DE HORAS TÉCNICAS'!F$953+'ESTIMATIVA DE HORAS TÉCNICAS'!R872*'ESTIMATIVA DE HORAS TÉCNICAS'!F$954</f>
        <v>1536.8256831577069</v>
      </c>
      <c r="E864" s="411">
        <f>'CALCULO DO FATO K'!D$10</f>
        <v>2.3175723620309046</v>
      </c>
      <c r="F864" s="714"/>
      <c r="G864" s="714"/>
      <c r="H864" s="411">
        <f>D864*E864</f>
        <v>3561.7047285455651</v>
      </c>
      <c r="I864" s="416"/>
      <c r="J864" s="767"/>
    </row>
    <row r="865" spans="1:10" s="403" customFormat="1" ht="15.75">
      <c r="A865" s="426" t="s">
        <v>817</v>
      </c>
      <c r="B865" s="428" t="s">
        <v>135</v>
      </c>
      <c r="C865" s="409"/>
      <c r="D865" s="787">
        <f>'ESTIMATIVA DE HORAS TÉCNICAS'!F873*'ESTIMATIVA DE HORAS TÉCNICAS'!F$943+'ESTIMATIVA DE HORAS TÉCNICAS'!G873*'ESTIMATIVA DE HORAS TÉCNICAS'!F$942+'ESTIMATIVA DE HORAS TÉCNICAS'!H873*'ESTIMATIVA DE HORAS TÉCNICAS'!F$941+'ESTIMATIVA DE HORAS TÉCNICAS'!I873*'ESTIMATIVA DE HORAS TÉCNICAS'!F$945+'ESTIMATIVA DE HORAS TÉCNICAS'!J873*'ESTIMATIVA DE HORAS TÉCNICAS'!F$946+'ESTIMATIVA DE HORAS TÉCNICAS'!K873*'ESTIMATIVA DE HORAS TÉCNICAS'!$F$944+'ESTIMATIVA DE HORAS TÉCNICAS'!L873*'ESTIMATIVA DE HORAS TÉCNICAS'!F$951+'ESTIMATIVA DE HORAS TÉCNICAS'!M873*'ESTIMATIVA DE HORAS TÉCNICAS'!F$950+'ESTIMATIVA DE HORAS TÉCNICAS'!N873*'ESTIMATIVA DE HORAS TÉCNICAS'!F$949+'ESTIMATIVA DE HORAS TÉCNICAS'!O873*'ESTIMATIVA DE HORAS TÉCNICAS'!F$948+'ESTIMATIVA DE HORAS TÉCNICAS'!P873*'ESTIMATIVA DE HORAS TÉCNICAS'!$F$947+'ESTIMATIVA DE HORAS TÉCNICAS'!Q873*'ESTIMATIVA DE HORAS TÉCNICAS'!F$953+'ESTIMATIVA DE HORAS TÉCNICAS'!R873*'ESTIMATIVA DE HORAS TÉCNICAS'!F$954</f>
        <v>1536.8256831577069</v>
      </c>
      <c r="E865" s="411">
        <f>'CALCULO DO FATO K'!D$10</f>
        <v>2.3175723620309046</v>
      </c>
      <c r="F865" s="714"/>
      <c r="G865" s="714"/>
      <c r="H865" s="411">
        <f t="shared" ref="H865:H870" si="60">D865*E865</f>
        <v>3561.7047285455651</v>
      </c>
      <c r="I865" s="416"/>
      <c r="J865" s="767"/>
    </row>
    <row r="866" spans="1:10" s="403" customFormat="1" ht="15.75">
      <c r="A866" s="426" t="s">
        <v>818</v>
      </c>
      <c r="B866" s="428" t="s">
        <v>112</v>
      </c>
      <c r="C866" s="409"/>
      <c r="D866" s="787">
        <f>'ESTIMATIVA DE HORAS TÉCNICAS'!F874*'ESTIMATIVA DE HORAS TÉCNICAS'!F$943+'ESTIMATIVA DE HORAS TÉCNICAS'!G874*'ESTIMATIVA DE HORAS TÉCNICAS'!F$942+'ESTIMATIVA DE HORAS TÉCNICAS'!H874*'ESTIMATIVA DE HORAS TÉCNICAS'!F$941+'ESTIMATIVA DE HORAS TÉCNICAS'!I874*'ESTIMATIVA DE HORAS TÉCNICAS'!F$945+'ESTIMATIVA DE HORAS TÉCNICAS'!J874*'ESTIMATIVA DE HORAS TÉCNICAS'!F$946+'ESTIMATIVA DE HORAS TÉCNICAS'!K874*'ESTIMATIVA DE HORAS TÉCNICAS'!$F$944+'ESTIMATIVA DE HORAS TÉCNICAS'!L874*'ESTIMATIVA DE HORAS TÉCNICAS'!F$951+'ESTIMATIVA DE HORAS TÉCNICAS'!M874*'ESTIMATIVA DE HORAS TÉCNICAS'!F$950+'ESTIMATIVA DE HORAS TÉCNICAS'!N874*'ESTIMATIVA DE HORAS TÉCNICAS'!F$949+'ESTIMATIVA DE HORAS TÉCNICAS'!O874*'ESTIMATIVA DE HORAS TÉCNICAS'!F$948+'ESTIMATIVA DE HORAS TÉCNICAS'!P874*'ESTIMATIVA DE HORAS TÉCNICAS'!$F$947+'ESTIMATIVA DE HORAS TÉCNICAS'!Q874*'ESTIMATIVA DE HORAS TÉCNICAS'!F$953+'ESTIMATIVA DE HORAS TÉCNICAS'!R874*'ESTIMATIVA DE HORAS TÉCNICAS'!F$954</f>
        <v>1173.1350556296816</v>
      </c>
      <c r="E866" s="411">
        <f>'CALCULO DO FATO K'!D$10</f>
        <v>2.3175723620309046</v>
      </c>
      <c r="F866" s="714"/>
      <c r="G866" s="714"/>
      <c r="H866" s="411">
        <f t="shared" si="60"/>
        <v>2718.8253818569378</v>
      </c>
      <c r="I866" s="416"/>
      <c r="J866" s="767"/>
    </row>
    <row r="867" spans="1:10" s="403" customFormat="1" ht="15.75">
      <c r="A867" s="426" t="s">
        <v>819</v>
      </c>
      <c r="B867" s="428" t="s">
        <v>105</v>
      </c>
      <c r="C867" s="409"/>
      <c r="D867" s="787">
        <f>'ESTIMATIVA DE HORAS TÉCNICAS'!F875*'ESTIMATIVA DE HORAS TÉCNICAS'!F$943+'ESTIMATIVA DE HORAS TÉCNICAS'!G875*'ESTIMATIVA DE HORAS TÉCNICAS'!F$942+'ESTIMATIVA DE HORAS TÉCNICAS'!H875*'ESTIMATIVA DE HORAS TÉCNICAS'!F$941+'ESTIMATIVA DE HORAS TÉCNICAS'!I875*'ESTIMATIVA DE HORAS TÉCNICAS'!F$945+'ESTIMATIVA DE HORAS TÉCNICAS'!J875*'ESTIMATIVA DE HORAS TÉCNICAS'!F$946+'ESTIMATIVA DE HORAS TÉCNICAS'!K875*'ESTIMATIVA DE HORAS TÉCNICAS'!$F$944+'ESTIMATIVA DE HORAS TÉCNICAS'!L875*'ESTIMATIVA DE HORAS TÉCNICAS'!F$951+'ESTIMATIVA DE HORAS TÉCNICAS'!M875*'ESTIMATIVA DE HORAS TÉCNICAS'!F$950+'ESTIMATIVA DE HORAS TÉCNICAS'!N875*'ESTIMATIVA DE HORAS TÉCNICAS'!F$949+'ESTIMATIVA DE HORAS TÉCNICAS'!O875*'ESTIMATIVA DE HORAS TÉCNICAS'!F$948+'ESTIMATIVA DE HORAS TÉCNICAS'!P875*'ESTIMATIVA DE HORAS TÉCNICAS'!$F$947+'ESTIMATIVA DE HORAS TÉCNICAS'!Q875*'ESTIMATIVA DE HORAS TÉCNICAS'!F$953+'ESTIMATIVA DE HORAS TÉCNICAS'!R875*'ESTIMATIVA DE HORAS TÉCNICAS'!F$954</f>
        <v>1714.2506172320689</v>
      </c>
      <c r="E867" s="411">
        <f>'CALCULO DO FATO K'!D$10</f>
        <v>2.3175723620309046</v>
      </c>
      <c r="F867" s="714"/>
      <c r="G867" s="714"/>
      <c r="H867" s="411">
        <f t="shared" si="60"/>
        <v>3972.899852091462</v>
      </c>
      <c r="I867" s="416"/>
      <c r="J867" s="767"/>
    </row>
    <row r="868" spans="1:10" s="403" customFormat="1" ht="15.75">
      <c r="A868" s="426" t="s">
        <v>820</v>
      </c>
      <c r="B868" s="428" t="s">
        <v>595</v>
      </c>
      <c r="C868" s="409"/>
      <c r="D868" s="787">
        <f>'ESTIMATIVA DE HORAS TÉCNICAS'!F876*'ESTIMATIVA DE HORAS TÉCNICAS'!F$943+'ESTIMATIVA DE HORAS TÉCNICAS'!G876*'ESTIMATIVA DE HORAS TÉCNICAS'!F$942+'ESTIMATIVA DE HORAS TÉCNICAS'!H876*'ESTIMATIVA DE HORAS TÉCNICAS'!F$941+'ESTIMATIVA DE HORAS TÉCNICAS'!I876*'ESTIMATIVA DE HORAS TÉCNICAS'!F$945+'ESTIMATIVA DE HORAS TÉCNICAS'!J876*'ESTIMATIVA DE HORAS TÉCNICAS'!F$946+'ESTIMATIVA DE HORAS TÉCNICAS'!K876*'ESTIMATIVA DE HORAS TÉCNICAS'!$F$944+'ESTIMATIVA DE HORAS TÉCNICAS'!L876*'ESTIMATIVA DE HORAS TÉCNICAS'!F$951+'ESTIMATIVA DE HORAS TÉCNICAS'!M876*'ESTIMATIVA DE HORAS TÉCNICAS'!F$950+'ESTIMATIVA DE HORAS TÉCNICAS'!N876*'ESTIMATIVA DE HORAS TÉCNICAS'!F$949+'ESTIMATIVA DE HORAS TÉCNICAS'!O876*'ESTIMATIVA DE HORAS TÉCNICAS'!F$948+'ESTIMATIVA DE HORAS TÉCNICAS'!P876*'ESTIMATIVA DE HORAS TÉCNICAS'!$F$947+'ESTIMATIVA DE HORAS TÉCNICAS'!Q876*'ESTIMATIVA DE HORAS TÉCNICAS'!F$953+'ESTIMATIVA DE HORAS TÉCNICAS'!R876*'ESTIMATIVA DE HORAS TÉCNICAS'!F$954</f>
        <v>1518.7506172320689</v>
      </c>
      <c r="E868" s="411">
        <f>'CALCULO DO FATO K'!D$10</f>
        <v>2.3175723620309046</v>
      </c>
      <c r="F868" s="714"/>
      <c r="G868" s="714"/>
      <c r="H868" s="411">
        <f t="shared" si="60"/>
        <v>3519.8144553144202</v>
      </c>
      <c r="I868" s="416"/>
      <c r="J868" s="767"/>
    </row>
    <row r="869" spans="1:10" s="403" customFormat="1" ht="15.75">
      <c r="A869" s="426" t="s">
        <v>821</v>
      </c>
      <c r="B869" s="428" t="s">
        <v>597</v>
      </c>
      <c r="C869" s="410"/>
      <c r="D869" s="787">
        <f>'ESTIMATIVA DE HORAS TÉCNICAS'!F877*'ESTIMATIVA DE HORAS TÉCNICAS'!F$943+'ESTIMATIVA DE HORAS TÉCNICAS'!G877*'ESTIMATIVA DE HORAS TÉCNICAS'!F$942+'ESTIMATIVA DE HORAS TÉCNICAS'!H877*'ESTIMATIVA DE HORAS TÉCNICAS'!F$941+'ESTIMATIVA DE HORAS TÉCNICAS'!I877*'ESTIMATIVA DE HORAS TÉCNICAS'!F$945+'ESTIMATIVA DE HORAS TÉCNICAS'!J877*'ESTIMATIVA DE HORAS TÉCNICAS'!F$946+'ESTIMATIVA DE HORAS TÉCNICAS'!K877*'ESTIMATIVA DE HORAS TÉCNICAS'!$F$944+'ESTIMATIVA DE HORAS TÉCNICAS'!L877*'ESTIMATIVA DE HORAS TÉCNICAS'!F$951+'ESTIMATIVA DE HORAS TÉCNICAS'!M877*'ESTIMATIVA DE HORAS TÉCNICAS'!F$950+'ESTIMATIVA DE HORAS TÉCNICAS'!N877*'ESTIMATIVA DE HORAS TÉCNICAS'!F$949+'ESTIMATIVA DE HORAS TÉCNICAS'!O877*'ESTIMATIVA DE HORAS TÉCNICAS'!F$948+'ESTIMATIVA DE HORAS TÉCNICAS'!P877*'ESTIMATIVA DE HORAS TÉCNICAS'!$F$947+'ESTIMATIVA DE HORAS TÉCNICAS'!Q877*'ESTIMATIVA DE HORAS TÉCNICAS'!F$953+'ESTIMATIVA DE HORAS TÉCNICAS'!R877*'ESTIMATIVA DE HORAS TÉCNICAS'!F$954</f>
        <v>217.55581353813182</v>
      </c>
      <c r="E869" s="411">
        <f>'CALCULO DO FATO K'!D$10</f>
        <v>2.3175723620309046</v>
      </c>
      <c r="F869" s="714"/>
      <c r="G869" s="714"/>
      <c r="H869" s="411">
        <f t="shared" si="60"/>
        <v>504.2013406551232</v>
      </c>
      <c r="I869" s="416"/>
      <c r="J869" s="767"/>
    </row>
    <row r="870" spans="1:10" s="403" customFormat="1" ht="15.75">
      <c r="A870" s="426" t="s">
        <v>822</v>
      </c>
      <c r="B870" s="768" t="s">
        <v>150</v>
      </c>
      <c r="C870" s="410"/>
      <c r="D870" s="787">
        <f>'ESTIMATIVA DE HORAS TÉCNICAS'!F878*'ESTIMATIVA DE HORAS TÉCNICAS'!F$943+'ESTIMATIVA DE HORAS TÉCNICAS'!G878*'ESTIMATIVA DE HORAS TÉCNICAS'!F$942+'ESTIMATIVA DE HORAS TÉCNICAS'!H878*'ESTIMATIVA DE HORAS TÉCNICAS'!F$941+'ESTIMATIVA DE HORAS TÉCNICAS'!I878*'ESTIMATIVA DE HORAS TÉCNICAS'!F$945+'ESTIMATIVA DE HORAS TÉCNICAS'!J878*'ESTIMATIVA DE HORAS TÉCNICAS'!F$946+'ESTIMATIVA DE HORAS TÉCNICAS'!K878*'ESTIMATIVA DE HORAS TÉCNICAS'!$F$944+'ESTIMATIVA DE HORAS TÉCNICAS'!L878*'ESTIMATIVA DE HORAS TÉCNICAS'!F$951+'ESTIMATIVA DE HORAS TÉCNICAS'!M878*'ESTIMATIVA DE HORAS TÉCNICAS'!F$950+'ESTIMATIVA DE HORAS TÉCNICAS'!N878*'ESTIMATIVA DE HORAS TÉCNICAS'!F$949+'ESTIMATIVA DE HORAS TÉCNICAS'!O878*'ESTIMATIVA DE HORAS TÉCNICAS'!F$948+'ESTIMATIVA DE HORAS TÉCNICAS'!P878*'ESTIMATIVA DE HORAS TÉCNICAS'!$F$947+'ESTIMATIVA DE HORAS TÉCNICAS'!Q878*'ESTIMATIVA DE HORAS TÉCNICAS'!F$953+'ESTIMATIVA DE HORAS TÉCNICAS'!R878*'ESTIMATIVA DE HORAS TÉCNICAS'!F$954</f>
        <v>413.05581353813182</v>
      </c>
      <c r="E870" s="411">
        <f>'CALCULO DO FATO K'!D$10</f>
        <v>2.3175723620309046</v>
      </c>
      <c r="F870" s="714"/>
      <c r="G870" s="714"/>
      <c r="H870" s="411">
        <f t="shared" si="60"/>
        <v>957.28673743216507</v>
      </c>
      <c r="I870" s="416">
        <f>SUM(H864:H870)</f>
        <v>18796.437224441237</v>
      </c>
      <c r="J870" s="767"/>
    </row>
    <row r="871" spans="1:10" s="532" customFormat="1" ht="15.75">
      <c r="A871" s="426"/>
      <c r="B871" s="768"/>
      <c r="C871" s="410"/>
      <c r="D871" s="787"/>
      <c r="E871" s="411"/>
      <c r="F871" s="714"/>
      <c r="G871" s="714"/>
      <c r="H871" s="411"/>
      <c r="I871" s="416"/>
      <c r="J871" s="767"/>
    </row>
    <row r="872" spans="1:10" s="403" customFormat="1" ht="15.75">
      <c r="A872" s="426"/>
      <c r="B872" s="768"/>
      <c r="C872" s="409"/>
      <c r="D872" s="787"/>
      <c r="E872" s="411"/>
      <c r="F872" s="714"/>
      <c r="G872" s="714"/>
      <c r="H872" s="411"/>
      <c r="I872" s="416"/>
      <c r="J872" s="767"/>
    </row>
    <row r="873" spans="1:10" ht="15.75">
      <c r="A873" s="391" t="s">
        <v>823</v>
      </c>
      <c r="B873" s="427" t="s">
        <v>277</v>
      </c>
      <c r="C873" s="474"/>
      <c r="D873" s="796"/>
      <c r="E873" s="475"/>
      <c r="F873" s="475"/>
      <c r="G873" s="475"/>
      <c r="H873" s="475"/>
      <c r="I873" s="476"/>
      <c r="J873" s="767"/>
    </row>
    <row r="874" spans="1:10" ht="15.75">
      <c r="A874" s="426" t="s">
        <v>824</v>
      </c>
      <c r="B874" s="428" t="s">
        <v>326</v>
      </c>
      <c r="C874" s="409"/>
      <c r="D874" s="787">
        <f>'ESTIMATIVA DE HORAS TÉCNICAS'!F882*'ESTIMATIVA DE HORAS TÉCNICAS'!F$943+'ESTIMATIVA DE HORAS TÉCNICAS'!G882*'ESTIMATIVA DE HORAS TÉCNICAS'!F$942+'ESTIMATIVA DE HORAS TÉCNICAS'!H882*'ESTIMATIVA DE HORAS TÉCNICAS'!F$941+'ESTIMATIVA DE HORAS TÉCNICAS'!I882*'ESTIMATIVA DE HORAS TÉCNICAS'!F$945+'ESTIMATIVA DE HORAS TÉCNICAS'!J882*'ESTIMATIVA DE HORAS TÉCNICAS'!F$946+'ESTIMATIVA DE HORAS TÉCNICAS'!K882*'ESTIMATIVA DE HORAS TÉCNICAS'!$F$944+'ESTIMATIVA DE HORAS TÉCNICAS'!L882*'ESTIMATIVA DE HORAS TÉCNICAS'!F$951+'ESTIMATIVA DE HORAS TÉCNICAS'!M882*'ESTIMATIVA DE HORAS TÉCNICAS'!F$950+'ESTIMATIVA DE HORAS TÉCNICAS'!N882*'ESTIMATIVA DE HORAS TÉCNICAS'!F$949+'ESTIMATIVA DE HORAS TÉCNICAS'!O882*'ESTIMATIVA DE HORAS TÉCNICAS'!F$948+'ESTIMATIVA DE HORAS TÉCNICAS'!P882*'ESTIMATIVA DE HORAS TÉCNICAS'!$F$947+'ESTIMATIVA DE HORAS TÉCNICAS'!Q882*'ESTIMATIVA DE HORAS TÉCNICAS'!F$953+'ESTIMATIVA DE HORAS TÉCNICAS'!R882*'ESTIMATIVA DE HORAS TÉCNICAS'!F$954</f>
        <v>2221.0385730645175</v>
      </c>
      <c r="E874" s="411">
        <f>'CALCULO DO FATO K'!D$10</f>
        <v>2.3175723620309046</v>
      </c>
      <c r="F874" s="714"/>
      <c r="G874" s="714"/>
      <c r="H874" s="411">
        <f>D874*E874</f>
        <v>5147.417611938884</v>
      </c>
      <c r="I874" s="416"/>
      <c r="J874" s="767"/>
    </row>
    <row r="875" spans="1:10" ht="15.75">
      <c r="A875" s="426" t="s">
        <v>825</v>
      </c>
      <c r="B875" s="428" t="s">
        <v>135</v>
      </c>
      <c r="C875" s="409"/>
      <c r="D875" s="787">
        <f>'ESTIMATIVA DE HORAS TÉCNICAS'!F883*'ESTIMATIVA DE HORAS TÉCNICAS'!F$943+'ESTIMATIVA DE HORAS TÉCNICAS'!G883*'ESTIMATIVA DE HORAS TÉCNICAS'!F$942+'ESTIMATIVA DE HORAS TÉCNICAS'!H883*'ESTIMATIVA DE HORAS TÉCNICAS'!F$941+'ESTIMATIVA DE HORAS TÉCNICAS'!I883*'ESTIMATIVA DE HORAS TÉCNICAS'!F$945+'ESTIMATIVA DE HORAS TÉCNICAS'!J883*'ESTIMATIVA DE HORAS TÉCNICAS'!F$946+'ESTIMATIVA DE HORAS TÉCNICAS'!K883*'ESTIMATIVA DE HORAS TÉCNICAS'!$F$944+'ESTIMATIVA DE HORAS TÉCNICAS'!L883*'ESTIMATIVA DE HORAS TÉCNICAS'!F$951+'ESTIMATIVA DE HORAS TÉCNICAS'!M883*'ESTIMATIVA DE HORAS TÉCNICAS'!F$950+'ESTIMATIVA DE HORAS TÉCNICAS'!N883*'ESTIMATIVA DE HORAS TÉCNICAS'!F$949+'ESTIMATIVA DE HORAS TÉCNICAS'!O883*'ESTIMATIVA DE HORAS TÉCNICAS'!F$948+'ESTIMATIVA DE HORAS TÉCNICAS'!P883*'ESTIMATIVA DE HORAS TÉCNICAS'!$F$947+'ESTIMATIVA DE HORAS TÉCNICAS'!Q883*'ESTIMATIVA DE HORAS TÉCNICAS'!F$953+'ESTIMATIVA DE HORAS TÉCNICAS'!R883*'ESTIMATIVA DE HORAS TÉCNICAS'!F$954</f>
        <v>2221.0385730645175</v>
      </c>
      <c r="E875" s="411">
        <f>'CALCULO DO FATO K'!D$10</f>
        <v>2.3175723620309046</v>
      </c>
      <c r="F875" s="714"/>
      <c r="G875" s="714"/>
      <c r="H875" s="411">
        <f t="shared" ref="H875:H880" si="61">D875*E875</f>
        <v>5147.417611938884</v>
      </c>
      <c r="I875" s="416"/>
      <c r="J875" s="767"/>
    </row>
    <row r="876" spans="1:10" ht="15.75">
      <c r="A876" s="426" t="s">
        <v>826</v>
      </c>
      <c r="B876" s="428" t="s">
        <v>112</v>
      </c>
      <c r="C876" s="409"/>
      <c r="D876" s="787">
        <f>'ESTIMATIVA DE HORAS TÉCNICAS'!F884*'ESTIMATIVA DE HORAS TÉCNICAS'!F$943+'ESTIMATIVA DE HORAS TÉCNICAS'!G884*'ESTIMATIVA DE HORAS TÉCNICAS'!F$942+'ESTIMATIVA DE HORAS TÉCNICAS'!H884*'ESTIMATIVA DE HORAS TÉCNICAS'!F$941+'ESTIMATIVA DE HORAS TÉCNICAS'!I884*'ESTIMATIVA DE HORAS TÉCNICAS'!F$945+'ESTIMATIVA DE HORAS TÉCNICAS'!J884*'ESTIMATIVA DE HORAS TÉCNICAS'!F$946+'ESTIMATIVA DE HORAS TÉCNICAS'!K884*'ESTIMATIVA DE HORAS TÉCNICAS'!$F$944+'ESTIMATIVA DE HORAS TÉCNICAS'!L884*'ESTIMATIVA DE HORAS TÉCNICAS'!F$951+'ESTIMATIVA DE HORAS TÉCNICAS'!M884*'ESTIMATIVA DE HORAS TÉCNICAS'!F$950+'ESTIMATIVA DE HORAS TÉCNICAS'!N884*'ESTIMATIVA DE HORAS TÉCNICAS'!F$949+'ESTIMATIVA DE HORAS TÉCNICAS'!O884*'ESTIMATIVA DE HORAS TÉCNICAS'!F$948+'ESTIMATIVA DE HORAS TÉCNICAS'!P884*'ESTIMATIVA DE HORAS TÉCNICAS'!$F$947+'ESTIMATIVA DE HORAS TÉCNICAS'!Q884*'ESTIMATIVA DE HORAS TÉCNICAS'!F$953+'ESTIMATIVA DE HORAS TÉCNICAS'!R884*'ESTIMATIVA DE HORAS TÉCNICAS'!F$954</f>
        <v>1857.3479455364927</v>
      </c>
      <c r="E876" s="411">
        <f>'CALCULO DO FATO K'!D$10</f>
        <v>2.3175723620309046</v>
      </c>
      <c r="F876" s="714"/>
      <c r="G876" s="714"/>
      <c r="H876" s="411">
        <f t="shared" si="61"/>
        <v>4304.5382652502576</v>
      </c>
      <c r="I876" s="416"/>
      <c r="J876" s="767"/>
    </row>
    <row r="877" spans="1:10" ht="15.75">
      <c r="A877" s="426" t="s">
        <v>827</v>
      </c>
      <c r="B877" s="428" t="s">
        <v>105</v>
      </c>
      <c r="C877" s="409"/>
      <c r="D877" s="787">
        <f>'ESTIMATIVA DE HORAS TÉCNICAS'!F885*'ESTIMATIVA DE HORAS TÉCNICAS'!F$943+'ESTIMATIVA DE HORAS TÉCNICAS'!G885*'ESTIMATIVA DE HORAS TÉCNICAS'!F$942+'ESTIMATIVA DE HORAS TÉCNICAS'!H885*'ESTIMATIVA DE HORAS TÉCNICAS'!F$941+'ESTIMATIVA DE HORAS TÉCNICAS'!I885*'ESTIMATIVA DE HORAS TÉCNICAS'!F$945+'ESTIMATIVA DE HORAS TÉCNICAS'!J885*'ESTIMATIVA DE HORAS TÉCNICAS'!F$946+'ESTIMATIVA DE HORAS TÉCNICAS'!K885*'ESTIMATIVA DE HORAS TÉCNICAS'!$F$944+'ESTIMATIVA DE HORAS TÉCNICAS'!L885*'ESTIMATIVA DE HORAS TÉCNICAS'!F$951+'ESTIMATIVA DE HORAS TÉCNICAS'!M885*'ESTIMATIVA DE HORAS TÉCNICAS'!F$950+'ESTIMATIVA DE HORAS TÉCNICAS'!N885*'ESTIMATIVA DE HORAS TÉCNICAS'!F$949+'ESTIMATIVA DE HORAS TÉCNICAS'!O885*'ESTIMATIVA DE HORAS TÉCNICAS'!F$948+'ESTIMATIVA DE HORAS TÉCNICAS'!P885*'ESTIMATIVA DE HORAS TÉCNICAS'!$F$947+'ESTIMATIVA DE HORAS TÉCNICAS'!Q885*'ESTIMATIVA DE HORAS TÉCNICAS'!F$953+'ESTIMATIVA DE HORAS TÉCNICAS'!R885*'ESTIMATIVA DE HORAS TÉCNICAS'!F$954</f>
        <v>2180.9076936007477</v>
      </c>
      <c r="E877" s="411">
        <f>'CALCULO DO FATO K'!D$10</f>
        <v>2.3175723620309046</v>
      </c>
      <c r="F877" s="714"/>
      <c r="G877" s="714"/>
      <c r="H877" s="411">
        <f t="shared" si="61"/>
        <v>5054.4113948296572</v>
      </c>
      <c r="I877" s="416"/>
      <c r="J877" s="767"/>
    </row>
    <row r="878" spans="1:10" ht="15.75">
      <c r="A878" s="426" t="s">
        <v>828</v>
      </c>
      <c r="B878" s="428" t="s">
        <v>595</v>
      </c>
      <c r="C878" s="409"/>
      <c r="D878" s="787">
        <f>'ESTIMATIVA DE HORAS TÉCNICAS'!F886*'ESTIMATIVA DE HORAS TÉCNICAS'!F$943+'ESTIMATIVA DE HORAS TÉCNICAS'!G886*'ESTIMATIVA DE HORAS TÉCNICAS'!F$942+'ESTIMATIVA DE HORAS TÉCNICAS'!H886*'ESTIMATIVA DE HORAS TÉCNICAS'!F$941+'ESTIMATIVA DE HORAS TÉCNICAS'!I886*'ESTIMATIVA DE HORAS TÉCNICAS'!F$945+'ESTIMATIVA DE HORAS TÉCNICAS'!J886*'ESTIMATIVA DE HORAS TÉCNICAS'!F$946+'ESTIMATIVA DE HORAS TÉCNICAS'!K886*'ESTIMATIVA DE HORAS TÉCNICAS'!$F$944+'ESTIMATIVA DE HORAS TÉCNICAS'!L886*'ESTIMATIVA DE HORAS TÉCNICAS'!F$951+'ESTIMATIVA DE HORAS TÉCNICAS'!M886*'ESTIMATIVA DE HORAS TÉCNICAS'!F$950+'ESTIMATIVA DE HORAS TÉCNICAS'!N886*'ESTIMATIVA DE HORAS TÉCNICAS'!F$949+'ESTIMATIVA DE HORAS TÉCNICAS'!O886*'ESTIMATIVA DE HORAS TÉCNICAS'!F$948+'ESTIMATIVA DE HORAS TÉCNICAS'!P886*'ESTIMATIVA DE HORAS TÉCNICAS'!$F$947+'ESTIMATIVA DE HORAS TÉCNICAS'!Q886*'ESTIMATIVA DE HORAS TÉCNICAS'!F$953+'ESTIMATIVA DE HORAS TÉCNICAS'!R886*'ESTIMATIVA DE HORAS TÉCNICAS'!F$954</f>
        <v>1760.157693600748</v>
      </c>
      <c r="E878" s="411">
        <f>'CALCULO DO FATO K'!D$10</f>
        <v>2.3175723620309046</v>
      </c>
      <c r="F878" s="714"/>
      <c r="G878" s="714"/>
      <c r="H878" s="411">
        <f t="shared" si="61"/>
        <v>4079.2928235051545</v>
      </c>
      <c r="I878" s="416"/>
      <c r="J878" s="767"/>
    </row>
    <row r="879" spans="1:10" ht="15.75">
      <c r="A879" s="426" t="s">
        <v>829</v>
      </c>
      <c r="B879" s="428" t="s">
        <v>597</v>
      </c>
      <c r="C879" s="410"/>
      <c r="D879" s="787">
        <f>'ESTIMATIVA DE HORAS TÉCNICAS'!F887*'ESTIMATIVA DE HORAS TÉCNICAS'!F$943+'ESTIMATIVA DE HORAS TÉCNICAS'!G887*'ESTIMATIVA DE HORAS TÉCNICAS'!F$942+'ESTIMATIVA DE HORAS TÉCNICAS'!H887*'ESTIMATIVA DE HORAS TÉCNICAS'!F$941+'ESTIMATIVA DE HORAS TÉCNICAS'!I887*'ESTIMATIVA DE HORAS TÉCNICAS'!F$945+'ESTIMATIVA DE HORAS TÉCNICAS'!J887*'ESTIMATIVA DE HORAS TÉCNICAS'!F$946+'ESTIMATIVA DE HORAS TÉCNICAS'!K887*'ESTIMATIVA DE HORAS TÉCNICAS'!$F$944+'ESTIMATIVA DE HORAS TÉCNICAS'!L887*'ESTIMATIVA DE HORAS TÉCNICAS'!F$951+'ESTIMATIVA DE HORAS TÉCNICAS'!M887*'ESTIMATIVA DE HORAS TÉCNICAS'!F$950+'ESTIMATIVA DE HORAS TÉCNICAS'!N887*'ESTIMATIVA DE HORAS TÉCNICAS'!F$949+'ESTIMATIVA DE HORAS TÉCNICAS'!O887*'ESTIMATIVA DE HORAS TÉCNICAS'!F$948+'ESTIMATIVA DE HORAS TÉCNICAS'!P887*'ESTIMATIVA DE HORAS TÉCNICAS'!$F$947+'ESTIMATIVA DE HORAS TÉCNICAS'!Q887*'ESTIMATIVA DE HORAS TÉCNICAS'!F$953+'ESTIMATIVA DE HORAS TÉCNICAS'!R887*'ESTIMATIVA DE HORAS TÉCNICAS'!F$954</f>
        <v>110.5</v>
      </c>
      <c r="E879" s="411">
        <f>'CALCULO DO FATO K'!D$10</f>
        <v>2.3175723620309046</v>
      </c>
      <c r="F879" s="714"/>
      <c r="G879" s="714"/>
      <c r="H879" s="411">
        <f t="shared" si="61"/>
        <v>256.09174600441497</v>
      </c>
      <c r="I879" s="416"/>
      <c r="J879" s="767"/>
    </row>
    <row r="880" spans="1:10" ht="15.75">
      <c r="A880" s="426" t="s">
        <v>830</v>
      </c>
      <c r="B880" s="768" t="s">
        <v>150</v>
      </c>
      <c r="C880" s="410"/>
      <c r="D880" s="787">
        <f>'ESTIMATIVA DE HORAS TÉCNICAS'!F888*'ESTIMATIVA DE HORAS TÉCNICAS'!F$943+'ESTIMATIVA DE HORAS TÉCNICAS'!G888*'ESTIMATIVA DE HORAS TÉCNICAS'!F$942+'ESTIMATIVA DE HORAS TÉCNICAS'!H888*'ESTIMATIVA DE HORAS TÉCNICAS'!F$941+'ESTIMATIVA DE HORAS TÉCNICAS'!I888*'ESTIMATIVA DE HORAS TÉCNICAS'!F$945+'ESTIMATIVA DE HORAS TÉCNICAS'!J888*'ESTIMATIVA DE HORAS TÉCNICAS'!F$946+'ESTIMATIVA DE HORAS TÉCNICAS'!K888*'ESTIMATIVA DE HORAS TÉCNICAS'!$F$944+'ESTIMATIVA DE HORAS TÉCNICAS'!L888*'ESTIMATIVA DE HORAS TÉCNICAS'!F$951+'ESTIMATIVA DE HORAS TÉCNICAS'!M888*'ESTIMATIVA DE HORAS TÉCNICAS'!F$950+'ESTIMATIVA DE HORAS TÉCNICAS'!N888*'ESTIMATIVA DE HORAS TÉCNICAS'!F$949+'ESTIMATIVA DE HORAS TÉCNICAS'!O888*'ESTIMATIVA DE HORAS TÉCNICAS'!F$948+'ESTIMATIVA DE HORAS TÉCNICAS'!P888*'ESTIMATIVA DE HORAS TÉCNICAS'!$F$947+'ESTIMATIVA DE HORAS TÉCNICAS'!Q888*'ESTIMATIVA DE HORAS TÉCNICAS'!F$953+'ESTIMATIVA DE HORAS TÉCNICAS'!R888*'ESTIMATIVA DE HORAS TÉCNICAS'!F$954</f>
        <v>310.25000000000006</v>
      </c>
      <c r="E880" s="411">
        <f>'CALCULO DO FATO K'!D$10</f>
        <v>2.3175723620309046</v>
      </c>
      <c r="F880" s="714"/>
      <c r="G880" s="714"/>
      <c r="H880" s="411">
        <f t="shared" si="61"/>
        <v>719.02682532008828</v>
      </c>
      <c r="I880" s="416">
        <f>SUM(H874:H880)</f>
        <v>24708.196278787342</v>
      </c>
      <c r="J880" s="767"/>
    </row>
    <row r="881" spans="1:10" s="532" customFormat="1" ht="15.75">
      <c r="A881" s="426"/>
      <c r="B881" s="768"/>
      <c r="C881" s="410"/>
      <c r="D881" s="787"/>
      <c r="E881" s="411"/>
      <c r="F881" s="714"/>
      <c r="G881" s="714"/>
      <c r="H881" s="411"/>
      <c r="I881" s="416"/>
      <c r="J881" s="767"/>
    </row>
    <row r="882" spans="1:10" s="318" customFormat="1" ht="15.75">
      <c r="A882" s="426"/>
      <c r="B882" s="768"/>
      <c r="C882" s="409"/>
      <c r="D882" s="787"/>
      <c r="E882" s="411"/>
      <c r="F882" s="714"/>
      <c r="G882" s="714"/>
      <c r="H882" s="411"/>
      <c r="I882" s="416"/>
      <c r="J882" s="767"/>
    </row>
    <row r="883" spans="1:10" ht="15.75">
      <c r="A883" s="391" t="s">
        <v>831</v>
      </c>
      <c r="B883" s="427" t="s">
        <v>283</v>
      </c>
      <c r="C883" s="481"/>
      <c r="D883" s="796"/>
      <c r="E883" s="475"/>
      <c r="F883" s="475"/>
      <c r="G883" s="475"/>
      <c r="H883" s="475"/>
      <c r="I883" s="476"/>
      <c r="J883" s="767"/>
    </row>
    <row r="884" spans="1:10" ht="15.75">
      <c r="A884" s="426" t="s">
        <v>832</v>
      </c>
      <c r="B884" s="428" t="s">
        <v>326</v>
      </c>
      <c r="C884" s="224"/>
      <c r="D884" s="787">
        <f>'ESTIMATIVA DE HORAS TÉCNICAS'!F892*'ESTIMATIVA DE HORAS TÉCNICAS'!F$943+'ESTIMATIVA DE HORAS TÉCNICAS'!G892*'ESTIMATIVA DE HORAS TÉCNICAS'!F$942+'ESTIMATIVA DE HORAS TÉCNICAS'!H892*'ESTIMATIVA DE HORAS TÉCNICAS'!F$941+'ESTIMATIVA DE HORAS TÉCNICAS'!I892*'ESTIMATIVA DE HORAS TÉCNICAS'!F$945+'ESTIMATIVA DE HORAS TÉCNICAS'!J892*'ESTIMATIVA DE HORAS TÉCNICAS'!F$946+'ESTIMATIVA DE HORAS TÉCNICAS'!K892*'ESTIMATIVA DE HORAS TÉCNICAS'!$F$944+'ESTIMATIVA DE HORAS TÉCNICAS'!L892*'ESTIMATIVA DE HORAS TÉCNICAS'!F$951+'ESTIMATIVA DE HORAS TÉCNICAS'!M892*'ESTIMATIVA DE HORAS TÉCNICAS'!F$950+'ESTIMATIVA DE HORAS TÉCNICAS'!N892*'ESTIMATIVA DE HORAS TÉCNICAS'!F$949+'ESTIMATIVA DE HORAS TÉCNICAS'!O892*'ESTIMATIVA DE HORAS TÉCNICAS'!F$948+'ESTIMATIVA DE HORAS TÉCNICAS'!P892*'ESTIMATIVA DE HORAS TÉCNICAS'!$F$947+'ESTIMATIVA DE HORAS TÉCNICAS'!Q892*'ESTIMATIVA DE HORAS TÉCNICAS'!F$953+'ESTIMATIVA DE HORAS TÉCNICAS'!R892*'ESTIMATIVA DE HORAS TÉCNICAS'!F$954</f>
        <v>2020.1509408192637</v>
      </c>
      <c r="E884" s="411">
        <f>'CALCULO DO FATO K'!D$10</f>
        <v>2.3175723620309046</v>
      </c>
      <c r="F884" s="714"/>
      <c r="G884" s="714"/>
      <c r="H884" s="411">
        <f>D884*E884</f>
        <v>4681.8459875734552</v>
      </c>
      <c r="I884" s="416"/>
      <c r="J884" s="767"/>
    </row>
    <row r="885" spans="1:10" ht="15.75">
      <c r="A885" s="426" t="s">
        <v>833</v>
      </c>
      <c r="B885" s="428" t="s">
        <v>135</v>
      </c>
      <c r="C885" s="224"/>
      <c r="D885" s="787">
        <f>'ESTIMATIVA DE HORAS TÉCNICAS'!F893*'ESTIMATIVA DE HORAS TÉCNICAS'!F$943+'ESTIMATIVA DE HORAS TÉCNICAS'!G893*'ESTIMATIVA DE HORAS TÉCNICAS'!F$942+'ESTIMATIVA DE HORAS TÉCNICAS'!H893*'ESTIMATIVA DE HORAS TÉCNICAS'!F$941+'ESTIMATIVA DE HORAS TÉCNICAS'!I893*'ESTIMATIVA DE HORAS TÉCNICAS'!F$945+'ESTIMATIVA DE HORAS TÉCNICAS'!J893*'ESTIMATIVA DE HORAS TÉCNICAS'!F$946+'ESTIMATIVA DE HORAS TÉCNICAS'!K893*'ESTIMATIVA DE HORAS TÉCNICAS'!$F$944+'ESTIMATIVA DE HORAS TÉCNICAS'!L893*'ESTIMATIVA DE HORAS TÉCNICAS'!F$951+'ESTIMATIVA DE HORAS TÉCNICAS'!M893*'ESTIMATIVA DE HORAS TÉCNICAS'!F$950+'ESTIMATIVA DE HORAS TÉCNICAS'!N893*'ESTIMATIVA DE HORAS TÉCNICAS'!F$949+'ESTIMATIVA DE HORAS TÉCNICAS'!O893*'ESTIMATIVA DE HORAS TÉCNICAS'!F$948+'ESTIMATIVA DE HORAS TÉCNICAS'!P893*'ESTIMATIVA DE HORAS TÉCNICAS'!$F$947+'ESTIMATIVA DE HORAS TÉCNICAS'!Q893*'ESTIMATIVA DE HORAS TÉCNICAS'!F$953+'ESTIMATIVA DE HORAS TÉCNICAS'!R893*'ESTIMATIVA DE HORAS TÉCNICAS'!F$954</f>
        <v>2020.1509408192637</v>
      </c>
      <c r="E885" s="411">
        <f>'CALCULO DO FATO K'!D$10</f>
        <v>2.3175723620309046</v>
      </c>
      <c r="F885" s="714"/>
      <c r="G885" s="714"/>
      <c r="H885" s="411">
        <f t="shared" ref="H885:H890" si="62">D885*E885</f>
        <v>4681.8459875734552</v>
      </c>
      <c r="I885" s="416"/>
      <c r="J885" s="767"/>
    </row>
    <row r="886" spans="1:10" ht="15.75">
      <c r="A886" s="426" t="s">
        <v>834</v>
      </c>
      <c r="B886" s="428" t="s">
        <v>112</v>
      </c>
      <c r="C886" s="224"/>
      <c r="D886" s="787">
        <f>'ESTIMATIVA DE HORAS TÉCNICAS'!F894*'ESTIMATIVA DE HORAS TÉCNICAS'!F$943+'ESTIMATIVA DE HORAS TÉCNICAS'!G894*'ESTIMATIVA DE HORAS TÉCNICAS'!F$942+'ESTIMATIVA DE HORAS TÉCNICAS'!H894*'ESTIMATIVA DE HORAS TÉCNICAS'!F$941+'ESTIMATIVA DE HORAS TÉCNICAS'!I894*'ESTIMATIVA DE HORAS TÉCNICAS'!F$945+'ESTIMATIVA DE HORAS TÉCNICAS'!J894*'ESTIMATIVA DE HORAS TÉCNICAS'!F$946+'ESTIMATIVA DE HORAS TÉCNICAS'!K894*'ESTIMATIVA DE HORAS TÉCNICAS'!$F$944+'ESTIMATIVA DE HORAS TÉCNICAS'!L894*'ESTIMATIVA DE HORAS TÉCNICAS'!F$951+'ESTIMATIVA DE HORAS TÉCNICAS'!M894*'ESTIMATIVA DE HORAS TÉCNICAS'!F$950+'ESTIMATIVA DE HORAS TÉCNICAS'!N894*'ESTIMATIVA DE HORAS TÉCNICAS'!F$949+'ESTIMATIVA DE HORAS TÉCNICAS'!O894*'ESTIMATIVA DE HORAS TÉCNICAS'!F$948+'ESTIMATIVA DE HORAS TÉCNICAS'!P894*'ESTIMATIVA DE HORAS TÉCNICAS'!$F$947+'ESTIMATIVA DE HORAS TÉCNICAS'!Q894*'ESTIMATIVA DE HORAS TÉCNICAS'!F$953+'ESTIMATIVA DE HORAS TÉCNICAS'!R894*'ESTIMATIVA DE HORAS TÉCNICAS'!F$954</f>
        <v>1656.4603132912389</v>
      </c>
      <c r="E886" s="411">
        <f>'CALCULO DO FATO K'!D$10</f>
        <v>2.3175723620309046</v>
      </c>
      <c r="F886" s="714"/>
      <c r="G886" s="714"/>
      <c r="H886" s="411">
        <f t="shared" si="62"/>
        <v>3838.9666408848288</v>
      </c>
      <c r="I886" s="416"/>
      <c r="J886" s="767"/>
    </row>
    <row r="887" spans="1:10" ht="15.75">
      <c r="A887" s="426" t="s">
        <v>835</v>
      </c>
      <c r="B887" s="428" t="s">
        <v>105</v>
      </c>
      <c r="C887" s="224"/>
      <c r="D887" s="787">
        <f>'ESTIMATIVA DE HORAS TÉCNICAS'!F895*'ESTIMATIVA DE HORAS TÉCNICAS'!F$943+'ESTIMATIVA DE HORAS TÉCNICAS'!G895*'ESTIMATIVA DE HORAS TÉCNICAS'!F$942+'ESTIMATIVA DE HORAS TÉCNICAS'!H895*'ESTIMATIVA DE HORAS TÉCNICAS'!F$941+'ESTIMATIVA DE HORAS TÉCNICAS'!I895*'ESTIMATIVA DE HORAS TÉCNICAS'!F$945+'ESTIMATIVA DE HORAS TÉCNICAS'!J895*'ESTIMATIVA DE HORAS TÉCNICAS'!F$946+'ESTIMATIVA DE HORAS TÉCNICAS'!K895*'ESTIMATIVA DE HORAS TÉCNICAS'!$F$944+'ESTIMATIVA DE HORAS TÉCNICAS'!L895*'ESTIMATIVA DE HORAS TÉCNICAS'!F$951+'ESTIMATIVA DE HORAS TÉCNICAS'!M895*'ESTIMATIVA DE HORAS TÉCNICAS'!F$950+'ESTIMATIVA DE HORAS TÉCNICAS'!N895*'ESTIMATIVA DE HORAS TÉCNICAS'!F$949+'ESTIMATIVA DE HORAS TÉCNICAS'!O895*'ESTIMATIVA DE HORAS TÉCNICAS'!F$948+'ESTIMATIVA DE HORAS TÉCNICAS'!P895*'ESTIMATIVA DE HORAS TÉCNICAS'!$F$947+'ESTIMATIVA DE HORAS TÉCNICAS'!Q895*'ESTIMATIVA DE HORAS TÉCNICAS'!F$953+'ESTIMATIVA DE HORAS TÉCNICAS'!R895*'ESTIMATIVA DE HORAS TÉCNICAS'!F$954</f>
        <v>1645.075874893626</v>
      </c>
      <c r="E887" s="411">
        <f>'CALCULO DO FATO K'!D$10</f>
        <v>2.3175723620309046</v>
      </c>
      <c r="F887" s="714"/>
      <c r="G887" s="714"/>
      <c r="H887" s="411">
        <f t="shared" si="62"/>
        <v>3812.5823810972774</v>
      </c>
      <c r="I887" s="416"/>
      <c r="J887" s="767"/>
    </row>
    <row r="888" spans="1:10" ht="15.75">
      <c r="A888" s="426" t="s">
        <v>836</v>
      </c>
      <c r="B888" s="428" t="s">
        <v>595</v>
      </c>
      <c r="C888" s="224"/>
      <c r="D888" s="787">
        <f>'ESTIMATIVA DE HORAS TÉCNICAS'!F896*'ESTIMATIVA DE HORAS TÉCNICAS'!F$943+'ESTIMATIVA DE HORAS TÉCNICAS'!G896*'ESTIMATIVA DE HORAS TÉCNICAS'!F$942+'ESTIMATIVA DE HORAS TÉCNICAS'!H896*'ESTIMATIVA DE HORAS TÉCNICAS'!F$941+'ESTIMATIVA DE HORAS TÉCNICAS'!I896*'ESTIMATIVA DE HORAS TÉCNICAS'!F$945+'ESTIMATIVA DE HORAS TÉCNICAS'!J896*'ESTIMATIVA DE HORAS TÉCNICAS'!F$946+'ESTIMATIVA DE HORAS TÉCNICAS'!K896*'ESTIMATIVA DE HORAS TÉCNICAS'!$F$944+'ESTIMATIVA DE HORAS TÉCNICAS'!L896*'ESTIMATIVA DE HORAS TÉCNICAS'!F$951+'ESTIMATIVA DE HORAS TÉCNICAS'!M896*'ESTIMATIVA DE HORAS TÉCNICAS'!F$950+'ESTIMATIVA DE HORAS TÉCNICAS'!N896*'ESTIMATIVA DE HORAS TÉCNICAS'!F$949+'ESTIMATIVA DE HORAS TÉCNICAS'!O896*'ESTIMATIVA DE HORAS TÉCNICAS'!F$948+'ESTIMATIVA DE HORAS TÉCNICAS'!P896*'ESTIMATIVA DE HORAS TÉCNICAS'!$F$947+'ESTIMATIVA DE HORAS TÉCNICAS'!Q896*'ESTIMATIVA DE HORAS TÉCNICAS'!F$953+'ESTIMATIVA DE HORAS TÉCNICAS'!R896*'ESTIMATIVA DE HORAS TÉCNICAS'!F$954</f>
        <v>1921.8457182480065</v>
      </c>
      <c r="E888" s="411">
        <f>'CALCULO DO FATO K'!D$10</f>
        <v>2.3175723620309046</v>
      </c>
      <c r="F888" s="714"/>
      <c r="G888" s="714"/>
      <c r="H888" s="411">
        <f t="shared" si="62"/>
        <v>4454.0165206990123</v>
      </c>
      <c r="I888" s="416"/>
      <c r="J888" s="767"/>
    </row>
    <row r="889" spans="1:10" ht="15.75">
      <c r="A889" s="426" t="s">
        <v>837</v>
      </c>
      <c r="B889" s="428" t="s">
        <v>597</v>
      </c>
      <c r="C889" s="410"/>
      <c r="D889" s="787">
        <f>'ESTIMATIVA DE HORAS TÉCNICAS'!F897*'ESTIMATIVA DE HORAS TÉCNICAS'!F$943+'ESTIMATIVA DE HORAS TÉCNICAS'!G897*'ESTIMATIVA DE HORAS TÉCNICAS'!F$942+'ESTIMATIVA DE HORAS TÉCNICAS'!H897*'ESTIMATIVA DE HORAS TÉCNICAS'!F$941+'ESTIMATIVA DE HORAS TÉCNICAS'!I897*'ESTIMATIVA DE HORAS TÉCNICAS'!F$945+'ESTIMATIVA DE HORAS TÉCNICAS'!J897*'ESTIMATIVA DE HORAS TÉCNICAS'!F$946+'ESTIMATIVA DE HORAS TÉCNICAS'!K897*'ESTIMATIVA DE HORAS TÉCNICAS'!$F$944+'ESTIMATIVA DE HORAS TÉCNICAS'!L897*'ESTIMATIVA DE HORAS TÉCNICAS'!F$951+'ESTIMATIVA DE HORAS TÉCNICAS'!M897*'ESTIMATIVA DE HORAS TÉCNICAS'!F$950+'ESTIMATIVA DE HORAS TÉCNICAS'!N897*'ESTIMATIVA DE HORAS TÉCNICAS'!F$949+'ESTIMATIVA DE HORAS TÉCNICAS'!O897*'ESTIMATIVA DE HORAS TÉCNICAS'!F$948+'ESTIMATIVA DE HORAS TÉCNICAS'!P897*'ESTIMATIVA DE HORAS TÉCNICAS'!$F$947+'ESTIMATIVA DE HORAS TÉCNICAS'!Q897*'ESTIMATIVA DE HORAS TÉCNICAS'!F$953+'ESTIMATIVA DE HORAS TÉCNICAS'!R897*'ESTIMATIVA DE HORAS TÉCNICAS'!F$954</f>
        <v>217.55581353813182</v>
      </c>
      <c r="E889" s="411">
        <f>'CALCULO DO FATO K'!D$10</f>
        <v>2.3175723620309046</v>
      </c>
      <c r="F889" s="714"/>
      <c r="G889" s="714"/>
      <c r="H889" s="411">
        <f t="shared" si="62"/>
        <v>504.2013406551232</v>
      </c>
      <c r="I889" s="416"/>
      <c r="J889" s="767"/>
    </row>
    <row r="890" spans="1:10" ht="15.75">
      <c r="A890" s="426" t="s">
        <v>838</v>
      </c>
      <c r="B890" s="768" t="s">
        <v>150</v>
      </c>
      <c r="C890" s="410"/>
      <c r="D890" s="787">
        <f>'ESTIMATIVA DE HORAS TÉCNICAS'!F898*'ESTIMATIVA DE HORAS TÉCNICAS'!F$943+'ESTIMATIVA DE HORAS TÉCNICAS'!G898*'ESTIMATIVA DE HORAS TÉCNICAS'!F$942+'ESTIMATIVA DE HORAS TÉCNICAS'!H898*'ESTIMATIVA DE HORAS TÉCNICAS'!F$941+'ESTIMATIVA DE HORAS TÉCNICAS'!I898*'ESTIMATIVA DE HORAS TÉCNICAS'!F$945+'ESTIMATIVA DE HORAS TÉCNICAS'!J898*'ESTIMATIVA DE HORAS TÉCNICAS'!F$946+'ESTIMATIVA DE HORAS TÉCNICAS'!K898*'ESTIMATIVA DE HORAS TÉCNICAS'!$F$944+'ESTIMATIVA DE HORAS TÉCNICAS'!L898*'ESTIMATIVA DE HORAS TÉCNICAS'!F$951+'ESTIMATIVA DE HORAS TÉCNICAS'!M898*'ESTIMATIVA DE HORAS TÉCNICAS'!F$950+'ESTIMATIVA DE HORAS TÉCNICAS'!N898*'ESTIMATIVA DE HORAS TÉCNICAS'!F$949+'ESTIMATIVA DE HORAS TÉCNICAS'!O898*'ESTIMATIVA DE HORAS TÉCNICAS'!F$948+'ESTIMATIVA DE HORAS TÉCNICAS'!P898*'ESTIMATIVA DE HORAS TÉCNICAS'!$F$947+'ESTIMATIVA DE HORAS TÉCNICAS'!Q898*'ESTIMATIVA DE HORAS TÉCNICAS'!F$953+'ESTIMATIVA DE HORAS TÉCNICAS'!R898*'ESTIMATIVA DE HORAS TÉCNICAS'!F$954</f>
        <v>1045.7859701837513</v>
      </c>
      <c r="E890" s="411">
        <f>'CALCULO DO FATO K'!D$10</f>
        <v>2.3175723620309046</v>
      </c>
      <c r="F890" s="714"/>
      <c r="G890" s="714"/>
      <c r="H890" s="411">
        <f t="shared" si="62"/>
        <v>2423.6846610975376</v>
      </c>
      <c r="I890" s="416">
        <f>SUM(H884:H890)</f>
        <v>24397.143519580688</v>
      </c>
      <c r="J890" s="767"/>
    </row>
    <row r="891" spans="1:10" s="532" customFormat="1" ht="15.75">
      <c r="A891" s="426"/>
      <c r="B891" s="768"/>
      <c r="C891" s="410"/>
      <c r="D891" s="787"/>
      <c r="E891" s="411"/>
      <c r="F891" s="714"/>
      <c r="G891" s="714"/>
      <c r="H891" s="411"/>
      <c r="I891" s="416"/>
      <c r="J891" s="767"/>
    </row>
    <row r="892" spans="1:10" s="318" customFormat="1" ht="15.75">
      <c r="A892" s="426"/>
      <c r="B892" s="768"/>
      <c r="C892" s="224"/>
      <c r="D892" s="787"/>
      <c r="E892" s="411"/>
      <c r="F892" s="714"/>
      <c r="G892" s="714"/>
      <c r="H892" s="411"/>
      <c r="I892" s="416"/>
      <c r="J892" s="767"/>
    </row>
    <row r="893" spans="1:10" ht="15.75">
      <c r="A893" s="391" t="s">
        <v>839</v>
      </c>
      <c r="B893" s="427" t="s">
        <v>287</v>
      </c>
      <c r="C893" s="478"/>
      <c r="D893" s="796"/>
      <c r="E893" s="475"/>
      <c r="F893" s="475"/>
      <c r="G893" s="475"/>
      <c r="H893" s="475"/>
      <c r="I893" s="476"/>
      <c r="J893" s="767"/>
    </row>
    <row r="894" spans="1:10" ht="15.75">
      <c r="A894" s="426" t="s">
        <v>840</v>
      </c>
      <c r="B894" s="428" t="s">
        <v>326</v>
      </c>
      <c r="C894" s="410"/>
      <c r="D894" s="787">
        <f>'ESTIMATIVA DE HORAS TÉCNICAS'!F902*'ESTIMATIVA DE HORAS TÉCNICAS'!F$943+'ESTIMATIVA DE HORAS TÉCNICAS'!G902*'ESTIMATIVA DE HORAS TÉCNICAS'!F$942+'ESTIMATIVA DE HORAS TÉCNICAS'!H902*'ESTIMATIVA DE HORAS TÉCNICAS'!F$941+'ESTIMATIVA DE HORAS TÉCNICAS'!I902*'ESTIMATIVA DE HORAS TÉCNICAS'!F$945+'ESTIMATIVA DE HORAS TÉCNICAS'!J902*'ESTIMATIVA DE HORAS TÉCNICAS'!F$946+'ESTIMATIVA DE HORAS TÉCNICAS'!K902*'ESTIMATIVA DE HORAS TÉCNICAS'!$F$944+'ESTIMATIVA DE HORAS TÉCNICAS'!L902*'ESTIMATIVA DE HORAS TÉCNICAS'!F$951+'ESTIMATIVA DE HORAS TÉCNICAS'!M902*'ESTIMATIVA DE HORAS TÉCNICAS'!F$950+'ESTIMATIVA DE HORAS TÉCNICAS'!N902*'ESTIMATIVA DE HORAS TÉCNICAS'!F$949+'ESTIMATIVA DE HORAS TÉCNICAS'!O902*'ESTIMATIVA DE HORAS TÉCNICAS'!F$948+'ESTIMATIVA DE HORAS TÉCNICAS'!P902*'ESTIMATIVA DE HORAS TÉCNICAS'!$F$947+'ESTIMATIVA DE HORAS TÉCNICAS'!Q902*'ESTIMATIVA DE HORAS TÉCNICAS'!F$953+'ESTIMATIVA DE HORAS TÉCNICAS'!R902*'ESTIMATIVA DE HORAS TÉCNICAS'!F$954</f>
        <v>2580.6817393862352</v>
      </c>
      <c r="E894" s="411">
        <f>'CALCULO DO FATO K'!D$10</f>
        <v>2.3175723620309046</v>
      </c>
      <c r="F894" s="714"/>
      <c r="G894" s="714"/>
      <c r="H894" s="411">
        <f>D894*E894</f>
        <v>5980.9166743993801</v>
      </c>
      <c r="I894" s="416"/>
      <c r="J894" s="767"/>
    </row>
    <row r="895" spans="1:10" ht="15.75">
      <c r="A895" s="426" t="s">
        <v>841</v>
      </c>
      <c r="B895" s="428" t="s">
        <v>135</v>
      </c>
      <c r="C895" s="410"/>
      <c r="D895" s="787">
        <f>'ESTIMATIVA DE HORAS TÉCNICAS'!F903*'ESTIMATIVA DE HORAS TÉCNICAS'!F$943+'ESTIMATIVA DE HORAS TÉCNICAS'!G903*'ESTIMATIVA DE HORAS TÉCNICAS'!F$942+'ESTIMATIVA DE HORAS TÉCNICAS'!H903*'ESTIMATIVA DE HORAS TÉCNICAS'!F$941+'ESTIMATIVA DE HORAS TÉCNICAS'!I903*'ESTIMATIVA DE HORAS TÉCNICAS'!F$945+'ESTIMATIVA DE HORAS TÉCNICAS'!J903*'ESTIMATIVA DE HORAS TÉCNICAS'!F$946+'ESTIMATIVA DE HORAS TÉCNICAS'!K903*'ESTIMATIVA DE HORAS TÉCNICAS'!$F$944+'ESTIMATIVA DE HORAS TÉCNICAS'!L903*'ESTIMATIVA DE HORAS TÉCNICAS'!F$951+'ESTIMATIVA DE HORAS TÉCNICAS'!M903*'ESTIMATIVA DE HORAS TÉCNICAS'!F$950+'ESTIMATIVA DE HORAS TÉCNICAS'!N903*'ESTIMATIVA DE HORAS TÉCNICAS'!F$949+'ESTIMATIVA DE HORAS TÉCNICAS'!O903*'ESTIMATIVA DE HORAS TÉCNICAS'!F$948+'ESTIMATIVA DE HORAS TÉCNICAS'!P903*'ESTIMATIVA DE HORAS TÉCNICAS'!$F$947+'ESTIMATIVA DE HORAS TÉCNICAS'!Q903*'ESTIMATIVA DE HORAS TÉCNICAS'!F$953+'ESTIMATIVA DE HORAS TÉCNICAS'!R903*'ESTIMATIVA DE HORAS TÉCNICAS'!F$954</f>
        <v>2580.6817393862352</v>
      </c>
      <c r="E895" s="411">
        <f>'CALCULO DO FATO K'!D$10</f>
        <v>2.3175723620309046</v>
      </c>
      <c r="F895" s="714"/>
      <c r="G895" s="714"/>
      <c r="H895" s="411">
        <f t="shared" ref="H895:H900" si="63">D895*E895</f>
        <v>5980.9166743993801</v>
      </c>
      <c r="I895" s="416"/>
      <c r="J895" s="767"/>
    </row>
    <row r="896" spans="1:10" ht="15.75">
      <c r="A896" s="426" t="s">
        <v>842</v>
      </c>
      <c r="B896" s="428" t="s">
        <v>112</v>
      </c>
      <c r="C896" s="410"/>
      <c r="D896" s="787">
        <f>'ESTIMATIVA DE HORAS TÉCNICAS'!F904*'ESTIMATIVA DE HORAS TÉCNICAS'!F$943+'ESTIMATIVA DE HORAS TÉCNICAS'!G904*'ESTIMATIVA DE HORAS TÉCNICAS'!F$942+'ESTIMATIVA DE HORAS TÉCNICAS'!H904*'ESTIMATIVA DE HORAS TÉCNICAS'!F$941+'ESTIMATIVA DE HORAS TÉCNICAS'!I904*'ESTIMATIVA DE HORAS TÉCNICAS'!F$945+'ESTIMATIVA DE HORAS TÉCNICAS'!J904*'ESTIMATIVA DE HORAS TÉCNICAS'!F$946+'ESTIMATIVA DE HORAS TÉCNICAS'!K904*'ESTIMATIVA DE HORAS TÉCNICAS'!$F$944+'ESTIMATIVA DE HORAS TÉCNICAS'!L904*'ESTIMATIVA DE HORAS TÉCNICAS'!F$951+'ESTIMATIVA DE HORAS TÉCNICAS'!M904*'ESTIMATIVA DE HORAS TÉCNICAS'!F$950+'ESTIMATIVA DE HORAS TÉCNICAS'!N904*'ESTIMATIVA DE HORAS TÉCNICAS'!F$949+'ESTIMATIVA DE HORAS TÉCNICAS'!O904*'ESTIMATIVA DE HORAS TÉCNICAS'!F$948+'ESTIMATIVA DE HORAS TÉCNICAS'!P904*'ESTIMATIVA DE HORAS TÉCNICAS'!$F$947+'ESTIMATIVA DE HORAS TÉCNICAS'!Q904*'ESTIMATIVA DE HORAS TÉCNICAS'!F$953+'ESTIMATIVA DE HORAS TÉCNICAS'!R904*'ESTIMATIVA DE HORAS TÉCNICAS'!F$954</f>
        <v>2183.9283275374805</v>
      </c>
      <c r="E896" s="411">
        <f>'CALCULO DO FATO K'!D$10</f>
        <v>2.3175723620309046</v>
      </c>
      <c r="F896" s="714"/>
      <c r="G896" s="714"/>
      <c r="H896" s="411">
        <f t="shared" si="63"/>
        <v>5061.4119325572419</v>
      </c>
      <c r="I896" s="416"/>
      <c r="J896" s="767"/>
    </row>
    <row r="897" spans="1:10" ht="15.75">
      <c r="A897" s="426" t="s">
        <v>843</v>
      </c>
      <c r="B897" s="428" t="s">
        <v>105</v>
      </c>
      <c r="C897" s="410"/>
      <c r="D897" s="787">
        <f>'ESTIMATIVA DE HORAS TÉCNICAS'!F905*'ESTIMATIVA DE HORAS TÉCNICAS'!F$943+'ESTIMATIVA DE HORAS TÉCNICAS'!G905*'ESTIMATIVA DE HORAS TÉCNICAS'!F$942+'ESTIMATIVA DE HORAS TÉCNICAS'!H905*'ESTIMATIVA DE HORAS TÉCNICAS'!F$941+'ESTIMATIVA DE HORAS TÉCNICAS'!I905*'ESTIMATIVA DE HORAS TÉCNICAS'!F$945+'ESTIMATIVA DE HORAS TÉCNICAS'!J905*'ESTIMATIVA DE HORAS TÉCNICAS'!F$946+'ESTIMATIVA DE HORAS TÉCNICAS'!K905*'ESTIMATIVA DE HORAS TÉCNICAS'!$F$944+'ESTIMATIVA DE HORAS TÉCNICAS'!L905*'ESTIMATIVA DE HORAS TÉCNICAS'!F$951+'ESTIMATIVA DE HORAS TÉCNICAS'!M905*'ESTIMATIVA DE HORAS TÉCNICAS'!F$950+'ESTIMATIVA DE HORAS TÉCNICAS'!N905*'ESTIMATIVA DE HORAS TÉCNICAS'!F$949+'ESTIMATIVA DE HORAS TÉCNICAS'!O905*'ESTIMATIVA DE HORAS TÉCNICAS'!F$948+'ESTIMATIVA DE HORAS TÉCNICAS'!P905*'ESTIMATIVA DE HORAS TÉCNICAS'!$F$947+'ESTIMATIVA DE HORAS TÉCNICAS'!Q905*'ESTIMATIVA DE HORAS TÉCNICAS'!F$953+'ESTIMATIVA DE HORAS TÉCNICAS'!R905*'ESTIMATIVA DE HORAS TÉCNICAS'!F$954</f>
        <v>2514.7382148072661</v>
      </c>
      <c r="E897" s="411">
        <f>'CALCULO DO FATO K'!D$10</f>
        <v>2.3175723620309046</v>
      </c>
      <c r="F897" s="714"/>
      <c r="G897" s="714"/>
      <c r="H897" s="411">
        <f t="shared" si="63"/>
        <v>5828.0877843802564</v>
      </c>
      <c r="I897" s="416"/>
      <c r="J897" s="767"/>
    </row>
    <row r="898" spans="1:10" ht="15.75">
      <c r="A898" s="426" t="s">
        <v>844</v>
      </c>
      <c r="B898" s="428" t="s">
        <v>595</v>
      </c>
      <c r="C898" s="410"/>
      <c r="D898" s="787">
        <f>'ESTIMATIVA DE HORAS TÉCNICAS'!F906*'ESTIMATIVA DE HORAS TÉCNICAS'!F$943+'ESTIMATIVA DE HORAS TÉCNICAS'!G906*'ESTIMATIVA DE HORAS TÉCNICAS'!F$942+'ESTIMATIVA DE HORAS TÉCNICAS'!H906*'ESTIMATIVA DE HORAS TÉCNICAS'!F$941+'ESTIMATIVA DE HORAS TÉCNICAS'!I906*'ESTIMATIVA DE HORAS TÉCNICAS'!F$945+'ESTIMATIVA DE HORAS TÉCNICAS'!J906*'ESTIMATIVA DE HORAS TÉCNICAS'!F$946+'ESTIMATIVA DE HORAS TÉCNICAS'!K906*'ESTIMATIVA DE HORAS TÉCNICAS'!$F$944+'ESTIMATIVA DE HORAS TÉCNICAS'!L906*'ESTIMATIVA DE HORAS TÉCNICAS'!F$951+'ESTIMATIVA DE HORAS TÉCNICAS'!M906*'ESTIMATIVA DE HORAS TÉCNICAS'!F$950+'ESTIMATIVA DE HORAS TÉCNICAS'!N906*'ESTIMATIVA DE HORAS TÉCNICAS'!F$949+'ESTIMATIVA DE HORAS TÉCNICAS'!O906*'ESTIMATIVA DE HORAS TÉCNICAS'!F$948+'ESTIMATIVA DE HORAS TÉCNICAS'!P906*'ESTIMATIVA DE HORAS TÉCNICAS'!$F$947+'ESTIMATIVA DE HORAS TÉCNICAS'!Q906*'ESTIMATIVA DE HORAS TÉCNICAS'!F$953+'ESTIMATIVA DE HORAS TÉCNICAS'!R906*'ESTIMATIVA DE HORAS TÉCNICAS'!F$954</f>
        <v>2791.5080581616462</v>
      </c>
      <c r="E898" s="411">
        <f>'CALCULO DO FATO K'!D$10</f>
        <v>2.3175723620309046</v>
      </c>
      <c r="F898" s="714"/>
      <c r="G898" s="714"/>
      <c r="H898" s="411">
        <f t="shared" si="63"/>
        <v>6469.5219239819899</v>
      </c>
      <c r="I898" s="416"/>
      <c r="J898" s="767"/>
    </row>
    <row r="899" spans="1:10" ht="15.75">
      <c r="A899" s="426" t="s">
        <v>845</v>
      </c>
      <c r="B899" s="428" t="s">
        <v>597</v>
      </c>
      <c r="C899" s="410"/>
      <c r="D899" s="787">
        <f>'ESTIMATIVA DE HORAS TÉCNICAS'!F907*'ESTIMATIVA DE HORAS TÉCNICAS'!F$943+'ESTIMATIVA DE HORAS TÉCNICAS'!G907*'ESTIMATIVA DE HORAS TÉCNICAS'!F$942+'ESTIMATIVA DE HORAS TÉCNICAS'!H907*'ESTIMATIVA DE HORAS TÉCNICAS'!F$941+'ESTIMATIVA DE HORAS TÉCNICAS'!I907*'ESTIMATIVA DE HORAS TÉCNICAS'!F$945+'ESTIMATIVA DE HORAS TÉCNICAS'!J907*'ESTIMATIVA DE HORAS TÉCNICAS'!F$946+'ESTIMATIVA DE HORAS TÉCNICAS'!K907*'ESTIMATIVA DE HORAS TÉCNICAS'!$F$944+'ESTIMATIVA DE HORAS TÉCNICAS'!L907*'ESTIMATIVA DE HORAS TÉCNICAS'!F$951+'ESTIMATIVA DE HORAS TÉCNICAS'!M907*'ESTIMATIVA DE HORAS TÉCNICAS'!F$950+'ESTIMATIVA DE HORAS TÉCNICAS'!N907*'ESTIMATIVA DE HORAS TÉCNICAS'!F$949+'ESTIMATIVA DE HORAS TÉCNICAS'!O907*'ESTIMATIVA DE HORAS TÉCNICAS'!F$948+'ESTIMATIVA DE HORAS TÉCNICAS'!P907*'ESTIMATIVA DE HORAS TÉCNICAS'!$F$947+'ESTIMATIVA DE HORAS TÉCNICAS'!Q907*'ESTIMATIVA DE HORAS TÉCNICAS'!F$953+'ESTIMATIVA DE HORAS TÉCNICAS'!R907*'ESTIMATIVA DE HORAS TÉCNICAS'!F$954</f>
        <v>559.75013920553056</v>
      </c>
      <c r="E899" s="411">
        <f>'CALCULO DO FATO K'!D$10</f>
        <v>2.3175723620309046</v>
      </c>
      <c r="F899" s="714"/>
      <c r="G899" s="714"/>
      <c r="H899" s="411">
        <f t="shared" si="63"/>
        <v>1297.2614522656891</v>
      </c>
      <c r="I899" s="416"/>
      <c r="J899" s="767"/>
    </row>
    <row r="900" spans="1:10" ht="15.75">
      <c r="A900" s="426" t="s">
        <v>846</v>
      </c>
      <c r="B900" s="428" t="s">
        <v>150</v>
      </c>
      <c r="C900" s="410"/>
      <c r="D900" s="787">
        <f>'ESTIMATIVA DE HORAS TÉCNICAS'!F908*'ESTIMATIVA DE HORAS TÉCNICAS'!F$943+'ESTIMATIVA DE HORAS TÉCNICAS'!G908*'ESTIMATIVA DE HORAS TÉCNICAS'!F$942+'ESTIMATIVA DE HORAS TÉCNICAS'!H908*'ESTIMATIVA DE HORAS TÉCNICAS'!F$941+'ESTIMATIVA DE HORAS TÉCNICAS'!I908*'ESTIMATIVA DE HORAS TÉCNICAS'!F$945+'ESTIMATIVA DE HORAS TÉCNICAS'!J908*'ESTIMATIVA DE HORAS TÉCNICAS'!F$946+'ESTIMATIVA DE HORAS TÉCNICAS'!K908*'ESTIMATIVA DE HORAS TÉCNICAS'!$F$944+'ESTIMATIVA DE HORAS TÉCNICAS'!L908*'ESTIMATIVA DE HORAS TÉCNICAS'!F$951+'ESTIMATIVA DE HORAS TÉCNICAS'!M908*'ESTIMATIVA DE HORAS TÉCNICAS'!F$950+'ESTIMATIVA DE HORAS TÉCNICAS'!N908*'ESTIMATIVA DE HORAS TÉCNICAS'!F$949+'ESTIMATIVA DE HORAS TÉCNICAS'!O908*'ESTIMATIVA DE HORAS TÉCNICAS'!F$948+'ESTIMATIVA DE HORAS TÉCNICAS'!P908*'ESTIMATIVA DE HORAS TÉCNICAS'!$F$947+'ESTIMATIVA DE HORAS TÉCNICAS'!Q908*'ESTIMATIVA DE HORAS TÉCNICAS'!F$953+'ESTIMATIVA DE HORAS TÉCNICAS'!R908*'ESTIMATIVA DE HORAS TÉCNICAS'!F$954</f>
        <v>1387.98029585115</v>
      </c>
      <c r="E900" s="411">
        <f>'CALCULO DO FATO K'!D$10</f>
        <v>2.3175723620309046</v>
      </c>
      <c r="F900" s="714"/>
      <c r="G900" s="714"/>
      <c r="H900" s="411">
        <f t="shared" si="63"/>
        <v>3216.7447727081035</v>
      </c>
      <c r="I900" s="416">
        <f>SUM(H894:H900)</f>
        <v>33834.861214692035</v>
      </c>
      <c r="J900" s="767"/>
    </row>
    <row r="901" spans="1:10" s="532" customFormat="1" ht="15.75">
      <c r="A901" s="426"/>
      <c r="B901" s="428"/>
      <c r="C901" s="410"/>
      <c r="D901" s="787"/>
      <c r="E901" s="411"/>
      <c r="F901" s="714"/>
      <c r="G901" s="714"/>
      <c r="H901" s="411"/>
      <c r="I901" s="416"/>
      <c r="J901" s="767"/>
    </row>
    <row r="902" spans="1:10" s="318" customFormat="1" ht="15.75">
      <c r="A902" s="426"/>
      <c r="B902" s="768"/>
      <c r="C902" s="410"/>
      <c r="D902" s="787"/>
      <c r="E902" s="411"/>
      <c r="F902" s="714"/>
      <c r="G902" s="714"/>
      <c r="H902" s="411"/>
      <c r="I902" s="416"/>
      <c r="J902" s="767"/>
    </row>
    <row r="903" spans="1:10" ht="15.75">
      <c r="A903" s="854" t="s">
        <v>847</v>
      </c>
      <c r="B903" s="427" t="s">
        <v>291</v>
      </c>
      <c r="C903" s="474"/>
      <c r="D903" s="797"/>
      <c r="E903" s="475"/>
      <c r="F903" s="475"/>
      <c r="G903" s="475"/>
      <c r="H903" s="480"/>
      <c r="I903" s="476"/>
      <c r="J903" s="767"/>
    </row>
    <row r="904" spans="1:10" ht="15.75">
      <c r="A904" s="426" t="s">
        <v>848</v>
      </c>
      <c r="B904" s="768" t="s">
        <v>293</v>
      </c>
      <c r="C904" s="409"/>
      <c r="D904" s="787">
        <f>'ESTIMATIVA DE HORAS TÉCNICAS'!F912*'ESTIMATIVA DE HORAS TÉCNICAS'!F$943+'ESTIMATIVA DE HORAS TÉCNICAS'!G912*'ESTIMATIVA DE HORAS TÉCNICAS'!F$942+'ESTIMATIVA DE HORAS TÉCNICAS'!H912*'ESTIMATIVA DE HORAS TÉCNICAS'!F$941+'ESTIMATIVA DE HORAS TÉCNICAS'!I912*'ESTIMATIVA DE HORAS TÉCNICAS'!F$945+'ESTIMATIVA DE HORAS TÉCNICAS'!J912*'ESTIMATIVA DE HORAS TÉCNICAS'!F$946+'ESTIMATIVA DE HORAS TÉCNICAS'!K912*'ESTIMATIVA DE HORAS TÉCNICAS'!$F$944+'ESTIMATIVA DE HORAS TÉCNICAS'!L912*'ESTIMATIVA DE HORAS TÉCNICAS'!F$951+'ESTIMATIVA DE HORAS TÉCNICAS'!M912*'ESTIMATIVA DE HORAS TÉCNICAS'!F$950+'ESTIMATIVA DE HORAS TÉCNICAS'!N912*'ESTIMATIVA DE HORAS TÉCNICAS'!F$949+'ESTIMATIVA DE HORAS TÉCNICAS'!O912*'ESTIMATIVA DE HORAS TÉCNICAS'!F$948+'ESTIMATIVA DE HORAS TÉCNICAS'!P912*'ESTIMATIVA DE HORAS TÉCNICAS'!$F$947+'ESTIMATIVA DE HORAS TÉCNICAS'!Q912*'ESTIMATIVA DE HORAS TÉCNICAS'!F$953+'ESTIMATIVA DE HORAS TÉCNICAS'!R912*'ESTIMATIVA DE HORAS TÉCNICAS'!F$954</f>
        <v>11760.205709002659</v>
      </c>
      <c r="E904" s="411">
        <f>'CALCULO DO FATO K'!D$10</f>
        <v>2.3175723620309046</v>
      </c>
      <c r="F904" s="714"/>
      <c r="G904" s="714"/>
      <c r="H904" s="411">
        <f>D904*E904</f>
        <v>27255.127722982623</v>
      </c>
      <c r="I904" s="416">
        <f>H904</f>
        <v>27255.127722982623</v>
      </c>
      <c r="J904" s="767"/>
    </row>
    <row r="905" spans="1:10" ht="15.75">
      <c r="A905" s="426"/>
      <c r="B905" s="768"/>
      <c r="C905" s="409"/>
      <c r="D905" s="787"/>
      <c r="E905" s="714"/>
      <c r="F905" s="714"/>
      <c r="G905" s="714"/>
      <c r="H905" s="714"/>
      <c r="I905" s="416"/>
      <c r="J905" s="767"/>
    </row>
    <row r="906" spans="1:10" ht="16.5" customHeight="1">
      <c r="A906" s="855"/>
      <c r="B906" s="312" t="s">
        <v>849</v>
      </c>
      <c r="C906" s="309"/>
      <c r="D906" s="793"/>
      <c r="E906" s="484"/>
      <c r="F906" s="484"/>
      <c r="G906" s="484"/>
      <c r="H906" s="484"/>
      <c r="I906" s="310">
        <f>SUM(I575:I905)</f>
        <v>1899453.0073467304</v>
      </c>
      <c r="J906" s="36"/>
    </row>
    <row r="907" spans="1:10" s="318" customFormat="1" ht="16.5" customHeight="1">
      <c r="A907" s="426"/>
      <c r="B907" s="768"/>
      <c r="C907" s="409"/>
      <c r="D907" s="787"/>
      <c r="E907" s="714"/>
      <c r="F907" s="714"/>
      <c r="G907" s="714"/>
      <c r="H907" s="714"/>
      <c r="I907" s="416"/>
      <c r="J907" s="766"/>
    </row>
    <row r="908" spans="1:10" ht="15.75">
      <c r="A908" s="851" t="s">
        <v>850</v>
      </c>
      <c r="B908" s="311" t="s">
        <v>13</v>
      </c>
      <c r="C908" s="837">
        <f>'ESTIMATIVA DE HORAS TÉCNICAS'!C922</f>
        <v>6.5000000000000002E-2</v>
      </c>
      <c r="D908" s="793"/>
      <c r="E908" s="484"/>
      <c r="F908" s="484"/>
      <c r="G908" s="484"/>
      <c r="H908" s="484"/>
      <c r="I908" s="310"/>
      <c r="J908" s="766"/>
    </row>
    <row r="909" spans="1:10" ht="15.75">
      <c r="A909" s="426" t="s">
        <v>851</v>
      </c>
      <c r="B909" s="319" t="s">
        <v>852</v>
      </c>
      <c r="C909" s="409"/>
      <c r="D909" s="787">
        <f>'ESTIMATIVA DE HORAS TÉCNICAS'!F923*'ESTIMATIVA DE HORAS TÉCNICAS'!F$943+'ESTIMATIVA DE HORAS TÉCNICAS'!G923*'ESTIMATIVA DE HORAS TÉCNICAS'!F$942+'ESTIMATIVA DE HORAS TÉCNICAS'!H923*'ESTIMATIVA DE HORAS TÉCNICAS'!F$941+'ESTIMATIVA DE HORAS TÉCNICAS'!I923*'ESTIMATIVA DE HORAS TÉCNICAS'!F$945+'ESTIMATIVA DE HORAS TÉCNICAS'!J923*'ESTIMATIVA DE HORAS TÉCNICAS'!F$946+'ESTIMATIVA DE HORAS TÉCNICAS'!K923*'ESTIMATIVA DE HORAS TÉCNICAS'!$F$944+'ESTIMATIVA DE HORAS TÉCNICAS'!L923*'ESTIMATIVA DE HORAS TÉCNICAS'!F$951+'ESTIMATIVA DE HORAS TÉCNICAS'!M923*'ESTIMATIVA DE HORAS TÉCNICAS'!F$950+'ESTIMATIVA DE HORAS TÉCNICAS'!N923*'ESTIMATIVA DE HORAS TÉCNICAS'!F$949+'ESTIMATIVA DE HORAS TÉCNICAS'!O923*'ESTIMATIVA DE HORAS TÉCNICAS'!F$948+'ESTIMATIVA DE HORAS TÉCNICAS'!P923*'ESTIMATIVA DE HORAS TÉCNICAS'!$F$947+'ESTIMATIVA DE HORAS TÉCNICAS'!Q923*'ESTIMATIVA DE HORAS TÉCNICAS'!F$953+'ESTIMATIVA DE HORAS TÉCNICAS'!R923*'ESTIMATIVA DE HORAS TÉCNICAS'!F$954</f>
        <v>15292.38917138565</v>
      </c>
      <c r="E909" s="411">
        <f>'CALCULO DO FATO K'!D$10</f>
        <v>2.3175723620309046</v>
      </c>
      <c r="F909" s="714"/>
      <c r="G909" s="714"/>
      <c r="H909" s="411">
        <f>D909*E909</f>
        <v>35441.218493024069</v>
      </c>
      <c r="I909" s="416"/>
      <c r="J909" s="766"/>
    </row>
    <row r="910" spans="1:10" ht="15.75">
      <c r="A910" s="426" t="s">
        <v>853</v>
      </c>
      <c r="B910" s="319" t="s">
        <v>854</v>
      </c>
      <c r="C910" s="193"/>
      <c r="D910" s="787">
        <f>'ESTIMATIVA DE HORAS TÉCNICAS'!F924*'ESTIMATIVA DE HORAS TÉCNICAS'!F$943+'ESTIMATIVA DE HORAS TÉCNICAS'!G924*'ESTIMATIVA DE HORAS TÉCNICAS'!F$942+'ESTIMATIVA DE HORAS TÉCNICAS'!H924*'ESTIMATIVA DE HORAS TÉCNICAS'!F$941+'ESTIMATIVA DE HORAS TÉCNICAS'!I924*'ESTIMATIVA DE HORAS TÉCNICAS'!F$945+'ESTIMATIVA DE HORAS TÉCNICAS'!J924*'ESTIMATIVA DE HORAS TÉCNICAS'!F$946+'ESTIMATIVA DE HORAS TÉCNICAS'!K924*'ESTIMATIVA DE HORAS TÉCNICAS'!$F$944+'ESTIMATIVA DE HORAS TÉCNICAS'!L924*'ESTIMATIVA DE HORAS TÉCNICAS'!F$951+'ESTIMATIVA DE HORAS TÉCNICAS'!M924*'ESTIMATIVA DE HORAS TÉCNICAS'!F$950+'ESTIMATIVA DE HORAS TÉCNICAS'!N924*'ESTIMATIVA DE HORAS TÉCNICAS'!F$949+'ESTIMATIVA DE HORAS TÉCNICAS'!O924*'ESTIMATIVA DE HORAS TÉCNICAS'!F$948+'ESTIMATIVA DE HORAS TÉCNICAS'!P924*'ESTIMATIVA DE HORAS TÉCNICAS'!$F$947+'ESTIMATIVA DE HORAS TÉCNICAS'!Q924*'ESTIMATIVA DE HORAS TÉCNICAS'!F$953+'ESTIMATIVA DE HORAS TÉCNICAS'!R924*'ESTIMATIVA DE HORAS TÉCNICAS'!F$954</f>
        <v>15426.780971917255</v>
      </c>
      <c r="E910" s="411">
        <f>'CALCULO DO FATO K'!D$10</f>
        <v>2.3175723620309046</v>
      </c>
      <c r="F910" s="714"/>
      <c r="G910" s="714"/>
      <c r="H910" s="411">
        <f t="shared" ref="H910:H914" si="64">D910*E910</f>
        <v>35752.681215619683</v>
      </c>
      <c r="I910" s="416"/>
      <c r="J910" s="766"/>
    </row>
    <row r="911" spans="1:10" ht="15.75">
      <c r="A911" s="426" t="s">
        <v>855</v>
      </c>
      <c r="B911" s="319" t="s">
        <v>856</v>
      </c>
      <c r="C911" s="193"/>
      <c r="D911" s="787">
        <f>'ESTIMATIVA DE HORAS TÉCNICAS'!F925*'ESTIMATIVA DE HORAS TÉCNICAS'!F$943+'ESTIMATIVA DE HORAS TÉCNICAS'!G925*'ESTIMATIVA DE HORAS TÉCNICAS'!F$942+'ESTIMATIVA DE HORAS TÉCNICAS'!H925*'ESTIMATIVA DE HORAS TÉCNICAS'!F$941+'ESTIMATIVA DE HORAS TÉCNICAS'!I925*'ESTIMATIVA DE HORAS TÉCNICAS'!F$945+'ESTIMATIVA DE HORAS TÉCNICAS'!J925*'ESTIMATIVA DE HORAS TÉCNICAS'!F$946+'ESTIMATIVA DE HORAS TÉCNICAS'!K925*'ESTIMATIVA DE HORAS TÉCNICAS'!$F$944+'ESTIMATIVA DE HORAS TÉCNICAS'!L925*'ESTIMATIVA DE HORAS TÉCNICAS'!F$951+'ESTIMATIVA DE HORAS TÉCNICAS'!M925*'ESTIMATIVA DE HORAS TÉCNICAS'!F$950+'ESTIMATIVA DE HORAS TÉCNICAS'!N925*'ESTIMATIVA DE HORAS TÉCNICAS'!F$949+'ESTIMATIVA DE HORAS TÉCNICAS'!O925*'ESTIMATIVA DE HORAS TÉCNICAS'!F$948+'ESTIMATIVA DE HORAS TÉCNICAS'!P925*'ESTIMATIVA DE HORAS TÉCNICAS'!$F$947+'ESTIMATIVA DE HORAS TÉCNICAS'!Q925*'ESTIMATIVA DE HORAS TÉCNICAS'!F$953+'ESTIMATIVA DE HORAS TÉCNICAS'!R925*'ESTIMATIVA DE HORAS TÉCNICAS'!F$954</f>
        <v>23644.697243730498</v>
      </c>
      <c r="E911" s="411">
        <f>'CALCULO DO FATO K'!D$10</f>
        <v>2.3175723620309046</v>
      </c>
      <c r="F911" s="714"/>
      <c r="G911" s="714"/>
      <c r="H911" s="411">
        <f t="shared" si="64"/>
        <v>54798.296840658106</v>
      </c>
      <c r="I911" s="416"/>
      <c r="J911" s="766"/>
    </row>
    <row r="912" spans="1:10" ht="15.75">
      <c r="A912" s="426" t="s">
        <v>857</v>
      </c>
      <c r="B912" s="319" t="s">
        <v>858</v>
      </c>
      <c r="C912" s="409"/>
      <c r="D912" s="787">
        <f>'ESTIMATIVA DE HORAS TÉCNICAS'!F926*'ESTIMATIVA DE HORAS TÉCNICAS'!F$943+'ESTIMATIVA DE HORAS TÉCNICAS'!G926*'ESTIMATIVA DE HORAS TÉCNICAS'!F$942+'ESTIMATIVA DE HORAS TÉCNICAS'!H926*'ESTIMATIVA DE HORAS TÉCNICAS'!F$941+'ESTIMATIVA DE HORAS TÉCNICAS'!I926*'ESTIMATIVA DE HORAS TÉCNICAS'!F$945+'ESTIMATIVA DE HORAS TÉCNICAS'!J926*'ESTIMATIVA DE HORAS TÉCNICAS'!F$946+'ESTIMATIVA DE HORAS TÉCNICAS'!K926*'ESTIMATIVA DE HORAS TÉCNICAS'!$F$944+'ESTIMATIVA DE HORAS TÉCNICAS'!L926*'ESTIMATIVA DE HORAS TÉCNICAS'!F$951+'ESTIMATIVA DE HORAS TÉCNICAS'!M926*'ESTIMATIVA DE HORAS TÉCNICAS'!F$950+'ESTIMATIVA DE HORAS TÉCNICAS'!N926*'ESTIMATIVA DE HORAS TÉCNICAS'!F$949+'ESTIMATIVA DE HORAS TÉCNICAS'!O926*'ESTIMATIVA DE HORAS TÉCNICAS'!F$948+'ESTIMATIVA DE HORAS TÉCNICAS'!P926*'ESTIMATIVA DE HORAS TÉCNICAS'!$F$947+'ESTIMATIVA DE HORAS TÉCNICAS'!Q926*'ESTIMATIVA DE HORAS TÉCNICAS'!F$953+'ESTIMATIVA DE HORAS TÉCNICAS'!R926*'ESTIMATIVA DE HORAS TÉCNICAS'!F$954</f>
        <v>34529.710672599096</v>
      </c>
      <c r="E912" s="411">
        <f>'CALCULO DO FATO K'!D$10</f>
        <v>2.3175723620309046</v>
      </c>
      <c r="F912" s="714"/>
      <c r="G912" s="714"/>
      <c r="H912" s="411">
        <f t="shared" si="64"/>
        <v>80025.103123739216</v>
      </c>
      <c r="I912" s="416"/>
      <c r="J912" s="766"/>
    </row>
    <row r="913" spans="1:10" s="403" customFormat="1" ht="15.75">
      <c r="A913" s="426" t="s">
        <v>859</v>
      </c>
      <c r="B913" s="319" t="s">
        <v>860</v>
      </c>
      <c r="C913" s="409"/>
      <c r="D913" s="787">
        <f>'ESTIMATIVA DE HORAS TÉCNICAS'!F927*'ESTIMATIVA DE HORAS TÉCNICAS'!F$943+'ESTIMATIVA DE HORAS TÉCNICAS'!G927*'ESTIMATIVA DE HORAS TÉCNICAS'!F$942+'ESTIMATIVA DE HORAS TÉCNICAS'!H927*'ESTIMATIVA DE HORAS TÉCNICAS'!F$941+'ESTIMATIVA DE HORAS TÉCNICAS'!I927*'ESTIMATIVA DE HORAS TÉCNICAS'!F$945+'ESTIMATIVA DE HORAS TÉCNICAS'!J927*'ESTIMATIVA DE HORAS TÉCNICAS'!F$946+'ESTIMATIVA DE HORAS TÉCNICAS'!K927*'ESTIMATIVA DE HORAS TÉCNICAS'!$F$944+'ESTIMATIVA DE HORAS TÉCNICAS'!L927*'ESTIMATIVA DE HORAS TÉCNICAS'!F$951+'ESTIMATIVA DE HORAS TÉCNICAS'!M927*'ESTIMATIVA DE HORAS TÉCNICAS'!F$950+'ESTIMATIVA DE HORAS TÉCNICAS'!N927*'ESTIMATIVA DE HORAS TÉCNICAS'!F$949+'ESTIMATIVA DE HORAS TÉCNICAS'!O927*'ESTIMATIVA DE HORAS TÉCNICAS'!F$948+'ESTIMATIVA DE HORAS TÉCNICAS'!P927*'ESTIMATIVA DE HORAS TÉCNICAS'!$F$947+'ESTIMATIVA DE HORAS TÉCNICAS'!Q927*'ESTIMATIVA DE HORAS TÉCNICAS'!F$953+'ESTIMATIVA DE HORAS TÉCNICAS'!R927*'ESTIMATIVA DE HORAS TÉCNICAS'!F$954</f>
        <v>26901.497229284643</v>
      </c>
      <c r="E913" s="411">
        <f>'CALCULO DO FATO K'!D$10</f>
        <v>2.3175723620309046</v>
      </c>
      <c r="F913" s="714"/>
      <c r="G913" s="714"/>
      <c r="H913" s="411">
        <f t="shared" si="64"/>
        <v>62346.166475841048</v>
      </c>
      <c r="I913" s="416"/>
      <c r="J913" s="766"/>
    </row>
    <row r="914" spans="1:10" s="403" customFormat="1" ht="15.75">
      <c r="A914" s="426" t="s">
        <v>861</v>
      </c>
      <c r="B914" s="319" t="s">
        <v>862</v>
      </c>
      <c r="C914" s="409"/>
      <c r="D914" s="787">
        <f>'ESTIMATIVA DE HORAS TÉCNICAS'!F928*'ESTIMATIVA DE HORAS TÉCNICAS'!F$943+'ESTIMATIVA DE HORAS TÉCNICAS'!G928*'ESTIMATIVA DE HORAS TÉCNICAS'!F$942+'ESTIMATIVA DE HORAS TÉCNICAS'!H928*'ESTIMATIVA DE HORAS TÉCNICAS'!F$941+'ESTIMATIVA DE HORAS TÉCNICAS'!I928*'ESTIMATIVA DE HORAS TÉCNICAS'!F$945+'ESTIMATIVA DE HORAS TÉCNICAS'!J928*'ESTIMATIVA DE HORAS TÉCNICAS'!F$946+'ESTIMATIVA DE HORAS TÉCNICAS'!K928*'ESTIMATIVA DE HORAS TÉCNICAS'!$F$944+'ESTIMATIVA DE HORAS TÉCNICAS'!L928*'ESTIMATIVA DE HORAS TÉCNICAS'!F$951+'ESTIMATIVA DE HORAS TÉCNICAS'!M928*'ESTIMATIVA DE HORAS TÉCNICAS'!F$950+'ESTIMATIVA DE HORAS TÉCNICAS'!N928*'ESTIMATIVA DE HORAS TÉCNICAS'!F$949+'ESTIMATIVA DE HORAS TÉCNICAS'!O928*'ESTIMATIVA DE HORAS TÉCNICAS'!F$948+'ESTIMATIVA DE HORAS TÉCNICAS'!P928*'ESTIMATIVA DE HORAS TÉCNICAS'!$F$947+'ESTIMATIVA DE HORAS TÉCNICAS'!Q928*'ESTIMATIVA DE HORAS TÉCNICAS'!F$953+'ESTIMATIVA DE HORAS TÉCNICAS'!R928*'ESTIMATIVA DE HORAS TÉCNICAS'!F$954</f>
        <v>35781.889174274816</v>
      </c>
      <c r="E914" s="411">
        <f>'CALCULO DO FATO K'!D$10</f>
        <v>2.3175723620309046</v>
      </c>
      <c r="F914" s="714"/>
      <c r="G914" s="714"/>
      <c r="H914" s="411">
        <f t="shared" si="64"/>
        <v>82927.117411552143</v>
      </c>
      <c r="I914" s="416"/>
      <c r="J914" s="766"/>
    </row>
    <row r="915" spans="1:10" ht="15.75">
      <c r="A915" s="426" t="s">
        <v>863</v>
      </c>
      <c r="B915" s="768" t="s">
        <v>93</v>
      </c>
      <c r="C915" s="467"/>
      <c r="D915" s="792"/>
      <c r="E915" s="771"/>
      <c r="F915" s="770">
        <f>'OUTROS CUSTOS DIRETOS'!F38</f>
        <v>14193.230000000001</v>
      </c>
      <c r="G915" s="770">
        <f>'CALCULO DO FATO K'!$D$11</f>
        <v>1.2004415011037526</v>
      </c>
      <c r="H915" s="770">
        <f>F915*G915</f>
        <v>17038.142326710815</v>
      </c>
      <c r="I915" s="394">
        <f>SUM(H909:H915)</f>
        <v>368328.72588714509</v>
      </c>
      <c r="J915" s="766"/>
    </row>
    <row r="916" spans="1:10" ht="16.5" customHeight="1">
      <c r="A916" s="426"/>
      <c r="B916" s="319"/>
      <c r="C916" s="409"/>
      <c r="D916" s="787"/>
      <c r="E916" s="714"/>
      <c r="F916" s="714"/>
      <c r="G916" s="714"/>
      <c r="H916" s="714"/>
      <c r="I916" s="416"/>
      <c r="J916" s="709"/>
    </row>
    <row r="917" spans="1:10" ht="16.5" customHeight="1">
      <c r="A917" s="855"/>
      <c r="B917" s="312" t="s">
        <v>864</v>
      </c>
      <c r="C917" s="309"/>
      <c r="D917" s="793"/>
      <c r="E917" s="484"/>
      <c r="F917" s="484"/>
      <c r="G917" s="484"/>
      <c r="H917" s="484"/>
      <c r="I917" s="310">
        <f>SUM(I908:I916)</f>
        <v>368328.72588714509</v>
      </c>
      <c r="J917" s="766"/>
    </row>
    <row r="918" spans="1:10" ht="16.5" customHeight="1" thickBot="1">
      <c r="A918" s="856"/>
      <c r="B918" s="487"/>
      <c r="C918" s="488"/>
      <c r="D918" s="798"/>
      <c r="E918" s="225"/>
      <c r="F918" s="225"/>
      <c r="G918" s="225"/>
      <c r="H918" s="225"/>
      <c r="I918" s="489"/>
      <c r="J918" s="766"/>
    </row>
    <row r="919" spans="1:10" ht="16.5" thickBot="1">
      <c r="A919" s="857"/>
      <c r="B919" s="492" t="s">
        <v>865</v>
      </c>
      <c r="C919" s="839">
        <f>SUM(C10:C908)</f>
        <v>1</v>
      </c>
      <c r="D919" s="799"/>
      <c r="E919" s="490"/>
      <c r="F919" s="490"/>
      <c r="G919" s="490"/>
      <c r="H919" s="490"/>
      <c r="I919" s="491">
        <f>I917+I906+I573+I254+I31</f>
        <v>5634095.5445687948</v>
      </c>
      <c r="J919" s="766"/>
    </row>
    <row r="920" spans="1:10">
      <c r="B920" s="884"/>
      <c r="C920" s="766"/>
      <c r="E920" s="766"/>
      <c r="F920" s="766"/>
      <c r="G920" s="766"/>
      <c r="H920" s="766"/>
      <c r="J920" s="766"/>
    </row>
    <row r="921" spans="1:10">
      <c r="B921" s="884"/>
      <c r="C921" s="766"/>
      <c r="E921" s="766"/>
      <c r="F921" s="766"/>
      <c r="G921" s="766"/>
      <c r="H921" s="766"/>
      <c r="J921" s="766"/>
    </row>
  </sheetData>
  <mergeCells count="5">
    <mergeCell ref="A7:C7"/>
    <mergeCell ref="A2:I3"/>
    <mergeCell ref="A4:I4"/>
    <mergeCell ref="A5:I5"/>
    <mergeCell ref="A6:I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979"/>
  <sheetViews>
    <sheetView zoomScaleNormal="100" workbookViewId="0">
      <pane ySplit="11" topLeftCell="A12" activePane="bottomLeft" state="frozen"/>
      <selection pane="bottomLeft" activeCell="V27" sqref="V27"/>
      <selection activeCell="B11" sqref="B11"/>
    </sheetView>
  </sheetViews>
  <sheetFormatPr defaultRowHeight="15"/>
  <cols>
    <col min="1" max="1" width="18.28515625" customWidth="1"/>
    <col min="2" max="2" width="79.140625" style="642" customWidth="1"/>
    <col min="3" max="3" width="9.85546875" customWidth="1"/>
    <col min="4" max="4" width="15.140625" customWidth="1"/>
    <col min="5" max="5" width="11.28515625" style="2" customWidth="1"/>
    <col min="6" max="6" width="17.28515625" style="3" customWidth="1"/>
    <col min="7" max="7" width="17.7109375" style="3" customWidth="1"/>
    <col min="8" max="8" width="14" style="3" customWidth="1"/>
    <col min="9" max="10" width="15" style="3" customWidth="1"/>
    <col min="11" max="11" width="10.85546875" style="640" customWidth="1"/>
    <col min="12" max="12" width="15.28515625" style="3" customWidth="1"/>
    <col min="13" max="13" width="16.140625" style="3" customWidth="1"/>
    <col min="14" max="14" width="12.140625" style="3" customWidth="1"/>
    <col min="15" max="15" width="15" style="3" customWidth="1"/>
    <col min="16" max="16" width="13" style="583" customWidth="1"/>
    <col min="17" max="17" width="14.42578125" style="3" customWidth="1"/>
    <col min="18" max="19" width="14.7109375" style="3" customWidth="1"/>
    <col min="20" max="20" width="9.140625" style="3" customWidth="1"/>
    <col min="21" max="21" width="14.140625" style="329" customWidth="1"/>
    <col min="22" max="22" width="18.7109375" customWidth="1"/>
    <col min="23" max="23" width="12.42578125" bestFit="1" customWidth="1"/>
    <col min="24" max="24" width="15.7109375" customWidth="1"/>
    <col min="25" max="25" width="13.85546875" bestFit="1" customWidth="1"/>
  </cols>
  <sheetData>
    <row r="1" spans="1:24" ht="15.75" thickBot="1">
      <c r="A1" s="766"/>
      <c r="C1" s="766"/>
      <c r="D1" s="766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V1" s="766"/>
      <c r="W1" s="766"/>
      <c r="X1" s="766"/>
    </row>
    <row r="2" spans="1:24" hidden="1">
      <c r="A2" s="928" t="s">
        <v>866</v>
      </c>
      <c r="B2" s="928"/>
      <c r="C2" s="928"/>
      <c r="D2" s="928"/>
      <c r="E2" s="928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V2" s="766"/>
      <c r="W2" s="766"/>
      <c r="X2" s="766"/>
    </row>
    <row r="3" spans="1:24" ht="15.75" hidden="1" thickBot="1">
      <c r="A3" s="928"/>
      <c r="B3" s="928"/>
      <c r="C3" s="928"/>
      <c r="D3" s="928"/>
      <c r="E3" s="928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V3" s="766"/>
      <c r="W3" s="766"/>
      <c r="X3" s="766"/>
    </row>
    <row r="4" spans="1:24" ht="15.75" hidden="1" thickBot="1">
      <c r="A4" s="86"/>
      <c r="B4" s="625"/>
      <c r="C4" s="50"/>
      <c r="D4" s="50"/>
      <c r="E4" s="92"/>
      <c r="F4" s="271"/>
      <c r="G4" s="276"/>
      <c r="H4" s="884"/>
      <c r="I4" s="884"/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V4" s="766"/>
      <c r="W4" s="766"/>
      <c r="X4" s="766"/>
    </row>
    <row r="5" spans="1:24" hidden="1">
      <c r="A5" s="931" t="s">
        <v>17</v>
      </c>
      <c r="B5" s="932"/>
      <c r="C5" s="932"/>
      <c r="D5" s="932"/>
      <c r="E5" s="932"/>
      <c r="F5" s="932"/>
      <c r="G5" s="933"/>
      <c r="H5" s="647"/>
      <c r="I5" s="647"/>
      <c r="J5" s="647"/>
      <c r="K5" s="647"/>
      <c r="L5" s="647"/>
      <c r="M5" s="647"/>
      <c r="N5" s="271"/>
      <c r="O5" s="271"/>
      <c r="P5" s="271"/>
      <c r="Q5" s="271"/>
      <c r="R5" s="271"/>
      <c r="S5" s="271"/>
      <c r="T5" s="271"/>
      <c r="U5" s="330"/>
      <c r="V5" s="766"/>
      <c r="W5" s="766"/>
      <c r="X5" s="766"/>
    </row>
    <row r="6" spans="1:24" hidden="1">
      <c r="A6" s="931" t="s">
        <v>3</v>
      </c>
      <c r="B6" s="932"/>
      <c r="C6" s="932"/>
      <c r="D6" s="932"/>
      <c r="E6" s="932"/>
      <c r="F6" s="932"/>
      <c r="G6" s="933"/>
      <c r="H6" s="648"/>
      <c r="I6" s="648"/>
      <c r="J6" s="648"/>
      <c r="K6" s="648"/>
      <c r="L6" s="648"/>
      <c r="M6" s="458"/>
      <c r="N6" s="79"/>
      <c r="O6" s="79"/>
      <c r="P6" s="79"/>
      <c r="Q6" s="79"/>
      <c r="R6" s="79"/>
      <c r="S6" s="79"/>
      <c r="T6" s="79"/>
      <c r="U6" s="331"/>
      <c r="V6" s="766"/>
      <c r="W6" s="766"/>
      <c r="X6" s="766"/>
    </row>
    <row r="7" spans="1:24" ht="15.75" hidden="1" thickBot="1">
      <c r="A7" s="93" t="s">
        <v>867</v>
      </c>
      <c r="B7" s="624"/>
      <c r="C7" s="94"/>
      <c r="D7" s="94"/>
      <c r="E7" s="176"/>
      <c r="F7" s="272"/>
      <c r="G7" s="277"/>
      <c r="H7" s="649"/>
      <c r="I7" s="649"/>
      <c r="J7" s="649"/>
      <c r="K7" s="649"/>
      <c r="L7" s="649"/>
      <c r="M7" s="649"/>
      <c r="N7" s="278"/>
      <c r="O7" s="278"/>
      <c r="P7" s="278"/>
      <c r="Q7" s="278"/>
      <c r="R7" s="278"/>
      <c r="S7" s="79"/>
      <c r="T7" s="79"/>
      <c r="U7" s="331"/>
      <c r="V7" s="766"/>
      <c r="W7" s="766"/>
      <c r="X7" s="766"/>
    </row>
    <row r="8" spans="1:24" ht="15.75" hidden="1" thickBot="1">
      <c r="A8" s="911" t="s">
        <v>868</v>
      </c>
      <c r="B8" s="912"/>
      <c r="C8" s="912"/>
      <c r="D8" s="912"/>
      <c r="E8" s="929"/>
      <c r="F8" s="670"/>
      <c r="G8" s="670"/>
      <c r="H8" s="670"/>
      <c r="I8" s="670"/>
      <c r="J8" s="670"/>
      <c r="K8" s="670"/>
      <c r="L8" s="670"/>
      <c r="M8" s="459"/>
      <c r="N8" s="79"/>
      <c r="O8" s="79"/>
      <c r="P8" s="79"/>
      <c r="Q8" s="79"/>
      <c r="R8" s="79"/>
      <c r="S8" s="79"/>
      <c r="T8" s="79"/>
      <c r="U8" s="331"/>
      <c r="V8" s="766"/>
      <c r="W8" s="766"/>
      <c r="X8" s="766"/>
    </row>
    <row r="9" spans="1:24" ht="15.75" hidden="1" thickBot="1">
      <c r="A9" s="495" t="s">
        <v>19</v>
      </c>
      <c r="B9" s="623"/>
      <c r="C9" s="496" t="s">
        <v>869</v>
      </c>
      <c r="D9" s="496" t="s">
        <v>870</v>
      </c>
      <c r="E9" s="497"/>
      <c r="F9" s="939" t="s">
        <v>871</v>
      </c>
      <c r="G9" s="940"/>
      <c r="H9" s="940"/>
      <c r="I9" s="940"/>
      <c r="J9" s="940"/>
      <c r="K9" s="940"/>
      <c r="L9" s="940"/>
      <c r="M9" s="940"/>
      <c r="N9" s="940"/>
      <c r="O9" s="940"/>
      <c r="P9" s="940"/>
      <c r="Q9" s="940"/>
      <c r="R9" s="940"/>
      <c r="S9" s="886"/>
      <c r="T9" s="886"/>
      <c r="U9" s="510"/>
      <c r="V9" s="766"/>
      <c r="W9" s="766"/>
      <c r="X9" s="766"/>
    </row>
    <row r="10" spans="1:24" s="47" customFormat="1" ht="15.75" hidden="1" thickBot="1">
      <c r="A10" s="498"/>
      <c r="B10" s="622"/>
      <c r="C10" s="499"/>
      <c r="D10" s="499"/>
      <c r="E10" s="500"/>
      <c r="F10" s="930" t="s">
        <v>872</v>
      </c>
      <c r="G10" s="930"/>
      <c r="H10" s="930"/>
      <c r="I10" s="930"/>
      <c r="J10" s="930"/>
      <c r="K10" s="930"/>
      <c r="L10" s="930"/>
      <c r="M10" s="930"/>
      <c r="N10" s="930"/>
      <c r="O10" s="930"/>
      <c r="P10" s="930"/>
      <c r="Q10" s="930"/>
      <c r="R10" s="930"/>
      <c r="S10" s="883"/>
      <c r="T10" s="883"/>
      <c r="U10" s="511"/>
      <c r="V10" s="766"/>
      <c r="W10" s="766"/>
      <c r="X10" s="766"/>
    </row>
    <row r="11" spans="1:24" s="550" customFormat="1" ht="68.25" customHeight="1" thickBot="1">
      <c r="A11" s="506" t="s">
        <v>28</v>
      </c>
      <c r="B11" s="621" t="s">
        <v>873</v>
      </c>
      <c r="C11" s="507"/>
      <c r="D11" s="508"/>
      <c r="E11" s="509"/>
      <c r="F11" s="638" t="s">
        <v>874</v>
      </c>
      <c r="G11" s="700" t="s">
        <v>875</v>
      </c>
      <c r="H11" s="636" t="s">
        <v>876</v>
      </c>
      <c r="I11" s="701" t="s">
        <v>877</v>
      </c>
      <c r="J11" s="637" t="s">
        <v>878</v>
      </c>
      <c r="K11" s="637" t="s">
        <v>879</v>
      </c>
      <c r="L11" s="700" t="s">
        <v>880</v>
      </c>
      <c r="M11" s="638" t="s">
        <v>881</v>
      </c>
      <c r="N11" s="700" t="s">
        <v>882</v>
      </c>
      <c r="O11" s="638" t="s">
        <v>883</v>
      </c>
      <c r="P11" s="638" t="s">
        <v>884</v>
      </c>
      <c r="Q11" s="637" t="s">
        <v>885</v>
      </c>
      <c r="R11" s="636" t="s">
        <v>886</v>
      </c>
      <c r="S11" s="638" t="s">
        <v>887</v>
      </c>
      <c r="T11" s="638" t="s">
        <v>888</v>
      </c>
      <c r="U11" s="638" t="s">
        <v>889</v>
      </c>
      <c r="V11" s="696"/>
      <c r="W11" s="696"/>
      <c r="X11" s="696"/>
    </row>
    <row r="12" spans="1:24" s="59" customFormat="1" ht="20.25" customHeight="1">
      <c r="A12" s="501"/>
      <c r="B12" s="620"/>
      <c r="C12" s="502"/>
      <c r="D12" s="502"/>
      <c r="E12" s="503"/>
      <c r="F12" s="504">
        <v>7480</v>
      </c>
      <c r="G12" s="694">
        <v>3300</v>
      </c>
      <c r="H12" s="694">
        <v>3300</v>
      </c>
      <c r="I12" s="694">
        <v>6600</v>
      </c>
      <c r="J12" s="694">
        <v>3300</v>
      </c>
      <c r="K12" s="694">
        <v>3300</v>
      </c>
      <c r="L12" s="694">
        <v>6600</v>
      </c>
      <c r="M12" s="694">
        <v>3300</v>
      </c>
      <c r="N12" s="694">
        <v>3300</v>
      </c>
      <c r="O12" s="694">
        <v>3300</v>
      </c>
      <c r="P12" s="694">
        <v>880</v>
      </c>
      <c r="Q12" s="694">
        <v>9900</v>
      </c>
      <c r="R12" s="226">
        <v>9900</v>
      </c>
      <c r="S12" s="226">
        <v>220</v>
      </c>
      <c r="T12" s="226">
        <v>220</v>
      </c>
      <c r="U12" s="505">
        <v>440</v>
      </c>
      <c r="V12" s="406"/>
      <c r="W12" s="407"/>
      <c r="X12" s="408"/>
    </row>
    <row r="13" spans="1:24" s="403" customFormat="1" ht="20.25" customHeight="1">
      <c r="A13" s="413" t="s">
        <v>28</v>
      </c>
      <c r="B13" s="619" t="s">
        <v>29</v>
      </c>
      <c r="C13" s="836">
        <v>4.4999999999999998E-2</v>
      </c>
      <c r="D13" s="414"/>
      <c r="E13" s="415"/>
      <c r="F13" s="662">
        <f>0.045*F12</f>
        <v>336.59999999999997</v>
      </c>
      <c r="G13" s="662">
        <f t="shared" ref="G13:R13" si="0">0.045*G12</f>
        <v>148.5</v>
      </c>
      <c r="H13" s="662">
        <f t="shared" si="0"/>
        <v>148.5</v>
      </c>
      <c r="I13" s="662">
        <f t="shared" si="0"/>
        <v>297</v>
      </c>
      <c r="J13" s="662">
        <f t="shared" si="0"/>
        <v>148.5</v>
      </c>
      <c r="K13" s="662">
        <f t="shared" si="0"/>
        <v>148.5</v>
      </c>
      <c r="L13" s="662">
        <f t="shared" si="0"/>
        <v>297</v>
      </c>
      <c r="M13" s="662">
        <f t="shared" si="0"/>
        <v>148.5</v>
      </c>
      <c r="N13" s="662">
        <f t="shared" si="0"/>
        <v>148.5</v>
      </c>
      <c r="O13" s="662">
        <f t="shared" si="0"/>
        <v>148.5</v>
      </c>
      <c r="P13" s="662">
        <f t="shared" si="0"/>
        <v>39.6</v>
      </c>
      <c r="Q13" s="662">
        <f t="shared" si="0"/>
        <v>445.5</v>
      </c>
      <c r="R13" s="662">
        <f t="shared" si="0"/>
        <v>445.5</v>
      </c>
      <c r="S13" s="662">
        <f>1*S12</f>
        <v>220</v>
      </c>
      <c r="T13" s="662">
        <f>1*T12</f>
        <v>220</v>
      </c>
      <c r="U13" s="662">
        <f>1*U12</f>
        <v>440</v>
      </c>
      <c r="V13" s="406"/>
      <c r="W13" s="407"/>
      <c r="X13" s="408"/>
    </row>
    <row r="14" spans="1:24" s="59" customFormat="1" ht="15.75">
      <c r="A14" s="769" t="s">
        <v>30</v>
      </c>
      <c r="B14" s="656" t="s">
        <v>31</v>
      </c>
      <c r="C14" s="404"/>
      <c r="D14" s="641" t="s">
        <v>890</v>
      </c>
      <c r="E14" s="663"/>
      <c r="F14" s="692">
        <f>0.05*F13</f>
        <v>16.829999999999998</v>
      </c>
      <c r="G14" s="692">
        <f>0.1*G13</f>
        <v>14.850000000000001</v>
      </c>
      <c r="H14" s="692">
        <f t="shared" ref="H14:R14" si="1">0.05*H13</f>
        <v>7.4250000000000007</v>
      </c>
      <c r="I14" s="692">
        <f t="shared" si="1"/>
        <v>14.850000000000001</v>
      </c>
      <c r="J14" s="692">
        <f t="shared" si="1"/>
        <v>7.4250000000000007</v>
      </c>
      <c r="K14" s="692">
        <f t="shared" si="1"/>
        <v>7.4250000000000007</v>
      </c>
      <c r="L14" s="692">
        <f>0.1*L13</f>
        <v>29.700000000000003</v>
      </c>
      <c r="M14" s="692">
        <f>0.1*M13</f>
        <v>14.850000000000001</v>
      </c>
      <c r="N14" s="692">
        <f>0.1*N13</f>
        <v>14.850000000000001</v>
      </c>
      <c r="O14" s="692">
        <f>0.1*O13</f>
        <v>14.850000000000001</v>
      </c>
      <c r="P14" s="680"/>
      <c r="Q14" s="692">
        <f t="shared" si="1"/>
        <v>22.275000000000002</v>
      </c>
      <c r="R14" s="692">
        <f t="shared" si="1"/>
        <v>22.275000000000002</v>
      </c>
      <c r="S14" s="689"/>
      <c r="T14" s="689"/>
      <c r="U14" s="652"/>
      <c r="V14" s="287"/>
      <c r="W14" s="767"/>
      <c r="X14" s="406"/>
    </row>
    <row r="15" spans="1:24" s="59" customFormat="1" ht="15.75">
      <c r="A15" s="769" t="s">
        <v>32</v>
      </c>
      <c r="B15" s="656" t="s">
        <v>33</v>
      </c>
      <c r="C15" s="404"/>
      <c r="D15" s="641" t="s">
        <v>890</v>
      </c>
      <c r="E15" s="663"/>
      <c r="F15" s="692">
        <f t="shared" ref="F15:K15" si="2">0.05*F13</f>
        <v>16.829999999999998</v>
      </c>
      <c r="G15" s="692">
        <f t="shared" si="2"/>
        <v>7.4250000000000007</v>
      </c>
      <c r="H15" s="692">
        <f t="shared" si="2"/>
        <v>7.4250000000000007</v>
      </c>
      <c r="I15" s="692">
        <f t="shared" si="2"/>
        <v>14.850000000000001</v>
      </c>
      <c r="J15" s="692">
        <f t="shared" si="2"/>
        <v>7.4250000000000007</v>
      </c>
      <c r="K15" s="692">
        <f t="shared" si="2"/>
        <v>7.4250000000000007</v>
      </c>
      <c r="L15" s="692">
        <f>0.1*L13</f>
        <v>29.700000000000003</v>
      </c>
      <c r="M15" s="692">
        <f>0.15*M13</f>
        <v>22.274999999999999</v>
      </c>
      <c r="N15" s="692">
        <f>0.1*N13</f>
        <v>14.850000000000001</v>
      </c>
      <c r="O15" s="692">
        <f>0.2*O13</f>
        <v>29.700000000000003</v>
      </c>
      <c r="P15" s="680"/>
      <c r="Q15" s="692">
        <f>0.05*Q13</f>
        <v>22.275000000000002</v>
      </c>
      <c r="R15" s="692">
        <f>0.05*R13</f>
        <v>22.275000000000002</v>
      </c>
      <c r="S15" s="689"/>
      <c r="T15" s="689"/>
      <c r="U15" s="652"/>
      <c r="V15" s="286"/>
      <c r="W15" s="767"/>
      <c r="X15" s="406"/>
    </row>
    <row r="16" spans="1:24" s="59" customFormat="1" ht="15.75">
      <c r="A16" s="769" t="s">
        <v>34</v>
      </c>
      <c r="B16" s="656" t="s">
        <v>35</v>
      </c>
      <c r="C16" s="404"/>
      <c r="D16" s="641" t="s">
        <v>890</v>
      </c>
      <c r="E16" s="663"/>
      <c r="F16" s="692">
        <f t="shared" ref="F16:K16" si="3">0.05*F13</f>
        <v>16.829999999999998</v>
      </c>
      <c r="G16" s="692">
        <f t="shared" si="3"/>
        <v>7.4250000000000007</v>
      </c>
      <c r="H16" s="692">
        <f t="shared" si="3"/>
        <v>7.4250000000000007</v>
      </c>
      <c r="I16" s="692">
        <f t="shared" si="3"/>
        <v>14.850000000000001</v>
      </c>
      <c r="J16" s="692">
        <f t="shared" si="3"/>
        <v>7.4250000000000007</v>
      </c>
      <c r="K16" s="692">
        <f t="shared" si="3"/>
        <v>7.4250000000000007</v>
      </c>
      <c r="L16" s="692"/>
      <c r="M16" s="692"/>
      <c r="N16" s="692"/>
      <c r="O16" s="692"/>
      <c r="P16" s="680"/>
      <c r="Q16" s="692">
        <f>0.05*Q13</f>
        <v>22.275000000000002</v>
      </c>
      <c r="R16" s="692">
        <f>0.05*R13</f>
        <v>22.275000000000002</v>
      </c>
      <c r="S16" s="689"/>
      <c r="T16" s="689"/>
      <c r="U16" s="652"/>
      <c r="V16" s="286"/>
      <c r="W16" s="767"/>
      <c r="X16" s="406"/>
    </row>
    <row r="17" spans="1:25" s="59" customFormat="1" ht="15.75">
      <c r="A17" s="769" t="s">
        <v>36</v>
      </c>
      <c r="B17" s="656" t="s">
        <v>37</v>
      </c>
      <c r="C17" s="404"/>
      <c r="D17" s="641" t="s">
        <v>890</v>
      </c>
      <c r="E17" s="663"/>
      <c r="F17" s="692">
        <f t="shared" ref="F17:K17" si="4">0.05*F13</f>
        <v>16.829999999999998</v>
      </c>
      <c r="G17" s="692">
        <f t="shared" si="4"/>
        <v>7.4250000000000007</v>
      </c>
      <c r="H17" s="692">
        <f t="shared" si="4"/>
        <v>7.4250000000000007</v>
      </c>
      <c r="I17" s="692">
        <f t="shared" si="4"/>
        <v>14.850000000000001</v>
      </c>
      <c r="J17" s="692">
        <f t="shared" si="4"/>
        <v>7.4250000000000007</v>
      </c>
      <c r="K17" s="692">
        <f t="shared" si="4"/>
        <v>7.4250000000000007</v>
      </c>
      <c r="L17" s="692"/>
      <c r="M17" s="692"/>
      <c r="N17" s="692"/>
      <c r="O17" s="692"/>
      <c r="P17" s="680"/>
      <c r="Q17" s="692">
        <f>0.05*Q13</f>
        <v>22.275000000000002</v>
      </c>
      <c r="R17" s="692">
        <f>0.05*R13</f>
        <v>22.275000000000002</v>
      </c>
      <c r="S17" s="689"/>
      <c r="T17" s="689"/>
      <c r="U17" s="652"/>
      <c r="V17" s="286"/>
      <c r="W17" s="767"/>
      <c r="X17" s="406"/>
      <c r="Y17" s="766"/>
    </row>
    <row r="18" spans="1:25" s="59" customFormat="1" ht="15.75">
      <c r="A18" s="769" t="s">
        <v>38</v>
      </c>
      <c r="B18" s="656" t="s">
        <v>39</v>
      </c>
      <c r="C18" s="404"/>
      <c r="D18" s="641" t="s">
        <v>890</v>
      </c>
      <c r="E18" s="663"/>
      <c r="F18" s="692">
        <f t="shared" ref="F18:K18" si="5">0.05*F13</f>
        <v>16.829999999999998</v>
      </c>
      <c r="G18" s="692"/>
      <c r="H18" s="692">
        <f t="shared" si="5"/>
        <v>7.4250000000000007</v>
      </c>
      <c r="I18" s="692">
        <f t="shared" si="5"/>
        <v>14.850000000000001</v>
      </c>
      <c r="J18" s="692">
        <f t="shared" si="5"/>
        <v>7.4250000000000007</v>
      </c>
      <c r="K18" s="692">
        <f t="shared" si="5"/>
        <v>7.4250000000000007</v>
      </c>
      <c r="L18" s="692"/>
      <c r="M18" s="692"/>
      <c r="N18" s="692"/>
      <c r="O18" s="692"/>
      <c r="P18" s="680"/>
      <c r="Q18" s="692">
        <f>0.05*Q13</f>
        <v>22.275000000000002</v>
      </c>
      <c r="R18" s="692">
        <f>0.05*R13</f>
        <v>22.275000000000002</v>
      </c>
      <c r="S18" s="689">
        <f>0.8*S13</f>
        <v>176</v>
      </c>
      <c r="T18" s="689">
        <f>0.8*T13</f>
        <v>176</v>
      </c>
      <c r="U18" s="652">
        <f>0.4*U13</f>
        <v>176</v>
      </c>
      <c r="V18" s="286"/>
      <c r="W18" s="767"/>
      <c r="X18" s="406"/>
      <c r="Y18" s="766"/>
    </row>
    <row r="19" spans="1:25" s="368" customFormat="1" ht="15.75">
      <c r="A19" s="769" t="s">
        <v>40</v>
      </c>
      <c r="B19" s="658" t="s">
        <v>41</v>
      </c>
      <c r="C19" s="404"/>
      <c r="D19" s="641" t="s">
        <v>890</v>
      </c>
      <c r="E19" s="663"/>
      <c r="F19" s="692">
        <f t="shared" ref="F19:K19" si="6">0.05*F13</f>
        <v>16.829999999999998</v>
      </c>
      <c r="G19" s="692">
        <f t="shared" si="6"/>
        <v>7.4250000000000007</v>
      </c>
      <c r="H19" s="692">
        <f t="shared" si="6"/>
        <v>7.4250000000000007</v>
      </c>
      <c r="I19" s="692">
        <f t="shared" si="6"/>
        <v>14.850000000000001</v>
      </c>
      <c r="J19" s="692">
        <f t="shared" si="6"/>
        <v>7.4250000000000007</v>
      </c>
      <c r="K19" s="692">
        <f t="shared" si="6"/>
        <v>7.4250000000000007</v>
      </c>
      <c r="L19" s="692"/>
      <c r="M19" s="692"/>
      <c r="N19" s="692"/>
      <c r="O19" s="692"/>
      <c r="P19" s="680"/>
      <c r="Q19" s="692">
        <f>0.05*Q13</f>
        <v>22.275000000000002</v>
      </c>
      <c r="R19" s="692">
        <f>0.05*R13</f>
        <v>22.275000000000002</v>
      </c>
      <c r="S19" s="689"/>
      <c r="T19" s="689"/>
      <c r="U19" s="652"/>
      <c r="V19" s="286"/>
      <c r="W19" s="767"/>
      <c r="X19" s="406"/>
      <c r="Y19" s="766"/>
    </row>
    <row r="20" spans="1:25" s="59" customFormat="1" ht="15.75">
      <c r="A20" s="769" t="s">
        <v>42</v>
      </c>
      <c r="B20" s="656" t="s">
        <v>43</v>
      </c>
      <c r="C20" s="404"/>
      <c r="D20" s="641" t="s">
        <v>890</v>
      </c>
      <c r="E20" s="663"/>
      <c r="F20" s="692">
        <f t="shared" ref="F20:H20" si="7">0.05*F13</f>
        <v>16.829999999999998</v>
      </c>
      <c r="G20" s="692">
        <f t="shared" si="7"/>
        <v>7.4250000000000007</v>
      </c>
      <c r="H20" s="692">
        <f t="shared" si="7"/>
        <v>7.4250000000000007</v>
      </c>
      <c r="I20" s="692"/>
      <c r="J20" s="692"/>
      <c r="K20" s="692"/>
      <c r="L20" s="692"/>
      <c r="M20" s="692"/>
      <c r="N20" s="692"/>
      <c r="O20" s="692"/>
      <c r="P20" s="680">
        <f>0.5*P13</f>
        <v>19.8</v>
      </c>
      <c r="Q20" s="692">
        <f>0.05*Q13</f>
        <v>22.275000000000002</v>
      </c>
      <c r="R20" s="692">
        <f>0.05*R13</f>
        <v>22.275000000000002</v>
      </c>
      <c r="S20" s="689">
        <f>0.2*S13</f>
        <v>44</v>
      </c>
      <c r="T20" s="689">
        <f>0.2*T13</f>
        <v>44</v>
      </c>
      <c r="U20" s="689">
        <f>0.1*U13</f>
        <v>44</v>
      </c>
      <c r="V20" s="286"/>
      <c r="W20" s="767"/>
      <c r="X20" s="766"/>
      <c r="Y20" s="766"/>
    </row>
    <row r="21" spans="1:25" s="696" customFormat="1" ht="31.5">
      <c r="A21" s="769" t="s">
        <v>44</v>
      </c>
      <c r="B21" s="635" t="s">
        <v>45</v>
      </c>
      <c r="C21" s="633"/>
      <c r="D21" s="641" t="s">
        <v>890</v>
      </c>
      <c r="E21" s="663"/>
      <c r="F21" s="692">
        <f t="shared" ref="F21:K21" si="8">0.05*F13</f>
        <v>16.829999999999998</v>
      </c>
      <c r="G21" s="692">
        <f t="shared" si="8"/>
        <v>7.4250000000000007</v>
      </c>
      <c r="H21" s="692">
        <f t="shared" si="8"/>
        <v>7.4250000000000007</v>
      </c>
      <c r="I21" s="692">
        <f t="shared" si="8"/>
        <v>14.850000000000001</v>
      </c>
      <c r="J21" s="692">
        <f t="shared" si="8"/>
        <v>7.4250000000000007</v>
      </c>
      <c r="K21" s="692">
        <f t="shared" si="8"/>
        <v>7.4250000000000007</v>
      </c>
      <c r="L21" s="692">
        <f>0.1*L13</f>
        <v>29.700000000000003</v>
      </c>
      <c r="M21" s="692">
        <f>0.1*M13</f>
        <v>14.850000000000001</v>
      </c>
      <c r="N21" s="692">
        <f>0.1*N13</f>
        <v>14.850000000000001</v>
      </c>
      <c r="O21" s="692">
        <f>0.1*O13</f>
        <v>14.850000000000001</v>
      </c>
      <c r="P21" s="680"/>
      <c r="Q21" s="692">
        <f>0.05*Q13</f>
        <v>22.275000000000002</v>
      </c>
      <c r="R21" s="692">
        <f>0.05*R13</f>
        <v>22.275000000000002</v>
      </c>
      <c r="S21" s="689"/>
      <c r="T21" s="689"/>
      <c r="U21" s="652"/>
      <c r="V21" s="632"/>
      <c r="W21" s="631"/>
    </row>
    <row r="22" spans="1:25" s="59" customFormat="1" ht="15.75">
      <c r="A22" s="769" t="s">
        <v>46</v>
      </c>
      <c r="B22" s="656" t="s">
        <v>47</v>
      </c>
      <c r="C22" s="404"/>
      <c r="D22" s="641" t="s">
        <v>890</v>
      </c>
      <c r="E22" s="663"/>
      <c r="F22" s="692">
        <f t="shared" ref="F22:K22" si="9">0.05*F13</f>
        <v>16.829999999999998</v>
      </c>
      <c r="G22" s="692">
        <f t="shared" si="9"/>
        <v>7.4250000000000007</v>
      </c>
      <c r="H22" s="692"/>
      <c r="I22" s="692">
        <f t="shared" si="9"/>
        <v>14.850000000000001</v>
      </c>
      <c r="J22" s="692">
        <f t="shared" si="9"/>
        <v>7.4250000000000007</v>
      </c>
      <c r="K22" s="692">
        <f t="shared" si="9"/>
        <v>7.4250000000000007</v>
      </c>
      <c r="L22" s="692"/>
      <c r="M22" s="692"/>
      <c r="N22" s="692"/>
      <c r="O22" s="692"/>
      <c r="P22" s="680">
        <f>0.5*P13</f>
        <v>19.8</v>
      </c>
      <c r="Q22" s="692">
        <f>0.05*Q13</f>
        <v>22.275000000000002</v>
      </c>
      <c r="R22" s="692">
        <f>0.05*R13</f>
        <v>22.275000000000002</v>
      </c>
      <c r="S22" s="689"/>
      <c r="T22" s="689"/>
      <c r="U22" s="652"/>
      <c r="V22" s="286"/>
      <c r="W22" s="767"/>
      <c r="X22" s="766"/>
      <c r="Y22" s="766"/>
    </row>
    <row r="23" spans="1:25" s="369" customFormat="1" ht="15.75">
      <c r="A23" s="769" t="s">
        <v>48</v>
      </c>
      <c r="B23" s="658" t="s">
        <v>49</v>
      </c>
      <c r="C23" s="429"/>
      <c r="D23" s="641" t="s">
        <v>890</v>
      </c>
      <c r="E23" s="393"/>
      <c r="F23" s="692">
        <f t="shared" ref="F23:K23" si="10">0.05*F13</f>
        <v>16.829999999999998</v>
      </c>
      <c r="G23" s="692">
        <f t="shared" si="10"/>
        <v>7.4250000000000007</v>
      </c>
      <c r="H23" s="692">
        <f t="shared" si="10"/>
        <v>7.4250000000000007</v>
      </c>
      <c r="I23" s="692">
        <f t="shared" si="10"/>
        <v>14.850000000000001</v>
      </c>
      <c r="J23" s="692">
        <f t="shared" si="10"/>
        <v>7.4250000000000007</v>
      </c>
      <c r="K23" s="692">
        <f t="shared" si="10"/>
        <v>7.4250000000000007</v>
      </c>
      <c r="L23" s="692">
        <f>0.1*L13</f>
        <v>29.700000000000003</v>
      </c>
      <c r="M23" s="692">
        <f>0.1*M13</f>
        <v>14.850000000000001</v>
      </c>
      <c r="N23" s="692">
        <f>0.1*N13</f>
        <v>14.850000000000001</v>
      </c>
      <c r="O23" s="692">
        <f>0.1*O13</f>
        <v>14.850000000000001</v>
      </c>
      <c r="P23" s="680"/>
      <c r="Q23" s="692">
        <f>0.05*Q13</f>
        <v>22.275000000000002</v>
      </c>
      <c r="R23" s="692">
        <f>0.05*R13</f>
        <v>22.275000000000002</v>
      </c>
      <c r="S23" s="689"/>
      <c r="T23" s="689"/>
      <c r="U23" s="370">
        <f>0.3*U13</f>
        <v>132</v>
      </c>
      <c r="V23" s="372"/>
      <c r="W23" s="371"/>
      <c r="X23" s="432"/>
      <c r="Y23" s="371"/>
    </row>
    <row r="24" spans="1:25" s="59" customFormat="1" ht="15.75">
      <c r="A24" s="769" t="s">
        <v>50</v>
      </c>
      <c r="B24" s="656" t="s">
        <v>51</v>
      </c>
      <c r="C24" s="404"/>
      <c r="D24" s="641" t="s">
        <v>890</v>
      </c>
      <c r="E24" s="663"/>
      <c r="F24" s="692">
        <f t="shared" ref="F24:K24" si="11">0.1*F13</f>
        <v>33.659999999999997</v>
      </c>
      <c r="G24" s="692">
        <f t="shared" si="11"/>
        <v>14.850000000000001</v>
      </c>
      <c r="H24" s="692">
        <f>0.05*H13</f>
        <v>7.4250000000000007</v>
      </c>
      <c r="I24" s="692">
        <f>0.05*I13</f>
        <v>14.850000000000001</v>
      </c>
      <c r="J24" s="692">
        <f>0.05*J13</f>
        <v>7.4250000000000007</v>
      </c>
      <c r="K24" s="692">
        <f t="shared" si="11"/>
        <v>14.850000000000001</v>
      </c>
      <c r="L24" s="692"/>
      <c r="M24" s="692"/>
      <c r="N24" s="692"/>
      <c r="O24" s="692"/>
      <c r="P24" s="680"/>
      <c r="Q24" s="692">
        <f>0.1*Q13</f>
        <v>44.550000000000004</v>
      </c>
      <c r="R24" s="692">
        <f>0.1*R13</f>
        <v>44.550000000000004</v>
      </c>
      <c r="S24" s="689"/>
      <c r="T24" s="689"/>
      <c r="U24" s="652"/>
      <c r="V24" s="286"/>
      <c r="W24" s="767"/>
      <c r="X24" s="406"/>
      <c r="Y24" s="766"/>
    </row>
    <row r="25" spans="1:25" s="59" customFormat="1" ht="15.75">
      <c r="A25" s="769" t="s">
        <v>52</v>
      </c>
      <c r="B25" s="656" t="s">
        <v>53</v>
      </c>
      <c r="C25" s="404"/>
      <c r="D25" s="641" t="s">
        <v>890</v>
      </c>
      <c r="E25" s="663"/>
      <c r="F25" s="692">
        <f t="shared" ref="F25:K25" si="12">0.05*F13</f>
        <v>16.829999999999998</v>
      </c>
      <c r="G25" s="692">
        <f t="shared" si="12"/>
        <v>7.4250000000000007</v>
      </c>
      <c r="H25" s="692">
        <f t="shared" si="12"/>
        <v>7.4250000000000007</v>
      </c>
      <c r="I25" s="692">
        <f t="shared" si="12"/>
        <v>14.850000000000001</v>
      </c>
      <c r="J25" s="692">
        <f t="shared" si="12"/>
        <v>7.4250000000000007</v>
      </c>
      <c r="K25" s="692">
        <f t="shared" si="12"/>
        <v>7.4250000000000007</v>
      </c>
      <c r="L25" s="692">
        <f t="shared" ref="L25" si="13">0.1*L13</f>
        <v>29.700000000000003</v>
      </c>
      <c r="M25" s="692">
        <f>0.15*M13</f>
        <v>22.274999999999999</v>
      </c>
      <c r="N25" s="692">
        <f>0.1*N13</f>
        <v>14.850000000000001</v>
      </c>
      <c r="O25" s="692">
        <f>0.1*O13</f>
        <v>14.850000000000001</v>
      </c>
      <c r="P25" s="680"/>
      <c r="Q25" s="692">
        <f>0.1*Q13</f>
        <v>44.550000000000004</v>
      </c>
      <c r="R25" s="692">
        <f>0.1*R13</f>
        <v>44.550000000000004</v>
      </c>
      <c r="S25" s="689"/>
      <c r="T25" s="689"/>
      <c r="U25" s="652"/>
      <c r="V25" s="286"/>
      <c r="W25" s="767"/>
      <c r="X25" s="406"/>
      <c r="Y25" s="767"/>
    </row>
    <row r="26" spans="1:25" s="59" customFormat="1" ht="15.75">
      <c r="A26" s="769" t="s">
        <v>54</v>
      </c>
      <c r="B26" s="656" t="s">
        <v>55</v>
      </c>
      <c r="C26" s="404"/>
      <c r="D26" s="641" t="s">
        <v>890</v>
      </c>
      <c r="E26" s="663"/>
      <c r="F26" s="692">
        <f>0.05*F13</f>
        <v>16.829999999999998</v>
      </c>
      <c r="G26" s="692">
        <f>0.05*G13</f>
        <v>7.4250000000000007</v>
      </c>
      <c r="H26" s="692">
        <f t="shared" ref="H26" si="14">0.1*H13</f>
        <v>14.850000000000001</v>
      </c>
      <c r="I26" s="692">
        <f>0.05*I13</f>
        <v>14.850000000000001</v>
      </c>
      <c r="J26" s="692">
        <f>0.05*J13</f>
        <v>7.4250000000000007</v>
      </c>
      <c r="K26" s="692">
        <f>0.05*K13</f>
        <v>7.4250000000000007</v>
      </c>
      <c r="L26" s="692">
        <f>0.2*L13</f>
        <v>59.400000000000006</v>
      </c>
      <c r="M26" s="692">
        <f>0.1*M13</f>
        <v>14.850000000000001</v>
      </c>
      <c r="N26" s="692">
        <f>0.15*N13</f>
        <v>22.274999999999999</v>
      </c>
      <c r="O26" s="692">
        <f>0.2*O13</f>
        <v>29.700000000000003</v>
      </c>
      <c r="P26" s="680"/>
      <c r="Q26" s="692">
        <f>0.1*Q13</f>
        <v>44.550000000000004</v>
      </c>
      <c r="R26" s="692">
        <f>0.1*R13</f>
        <v>44.550000000000004</v>
      </c>
      <c r="S26" s="689"/>
      <c r="T26" s="689"/>
      <c r="U26" s="652">
        <f>0.1*U13</f>
        <v>44</v>
      </c>
      <c r="V26" s="286"/>
      <c r="W26" s="767"/>
      <c r="X26" s="406"/>
      <c r="Y26" s="766"/>
    </row>
    <row r="27" spans="1:25" s="59" customFormat="1" ht="31.5">
      <c r="A27" s="769" t="s">
        <v>56</v>
      </c>
      <c r="B27" s="656" t="s">
        <v>891</v>
      </c>
      <c r="C27" s="404"/>
      <c r="D27" s="641" t="s">
        <v>890</v>
      </c>
      <c r="E27" s="663"/>
      <c r="F27" s="692">
        <f>0.1*F13</f>
        <v>33.659999999999997</v>
      </c>
      <c r="G27" s="692">
        <f>0.1*G13</f>
        <v>14.850000000000001</v>
      </c>
      <c r="H27" s="692">
        <f>0.15*H13</f>
        <v>22.274999999999999</v>
      </c>
      <c r="I27" s="692">
        <f>0.05*I13</f>
        <v>14.850000000000001</v>
      </c>
      <c r="J27" s="692">
        <f>0.05*J13</f>
        <v>7.4250000000000007</v>
      </c>
      <c r="K27" s="692">
        <f>0.1*K13</f>
        <v>14.850000000000001</v>
      </c>
      <c r="L27" s="692">
        <f>0.1*L13</f>
        <v>29.700000000000003</v>
      </c>
      <c r="M27" s="692">
        <f>0.1*M13</f>
        <v>14.850000000000001</v>
      </c>
      <c r="N27" s="692">
        <f>0.15*N13</f>
        <v>22.274999999999999</v>
      </c>
      <c r="O27" s="692">
        <f>0.1*O13</f>
        <v>14.850000000000001</v>
      </c>
      <c r="P27" s="588"/>
      <c r="Q27" s="692">
        <f>0.1*Q13</f>
        <v>44.550000000000004</v>
      </c>
      <c r="R27" s="692">
        <f>0.1*R13</f>
        <v>44.550000000000004</v>
      </c>
      <c r="S27" s="456"/>
      <c r="T27" s="456"/>
      <c r="U27" s="456">
        <f>0.1*U13</f>
        <v>44</v>
      </c>
      <c r="V27" s="286"/>
      <c r="W27" s="767"/>
      <c r="X27" s="766"/>
      <c r="Y27" s="766"/>
    </row>
    <row r="28" spans="1:25" s="766" customFormat="1" ht="15.75">
      <c r="A28" s="769" t="s">
        <v>58</v>
      </c>
      <c r="B28" s="656" t="s">
        <v>59</v>
      </c>
      <c r="C28" s="404"/>
      <c r="D28" s="641" t="s">
        <v>890</v>
      </c>
      <c r="E28" s="663"/>
      <c r="F28" s="692">
        <f>0.2*F13</f>
        <v>67.319999999999993</v>
      </c>
      <c r="G28" s="692">
        <f>0.2*G13</f>
        <v>29.700000000000003</v>
      </c>
      <c r="H28" s="692">
        <f>0.2*H13</f>
        <v>29.700000000000003</v>
      </c>
      <c r="I28" s="692">
        <f>0.35*I13</f>
        <v>103.94999999999999</v>
      </c>
      <c r="J28" s="692">
        <f>0.35*J13</f>
        <v>51.974999999999994</v>
      </c>
      <c r="K28" s="692">
        <f>0.25*K13</f>
        <v>37.125</v>
      </c>
      <c r="L28" s="692">
        <f>0.2*L13</f>
        <v>59.400000000000006</v>
      </c>
      <c r="M28" s="692">
        <f>0.2*M13</f>
        <v>29.700000000000003</v>
      </c>
      <c r="N28" s="692">
        <f>0.2*N13</f>
        <v>29.700000000000003</v>
      </c>
      <c r="O28" s="692">
        <f t="shared" ref="O28:R28" si="15">0.1*O13</f>
        <v>14.850000000000001</v>
      </c>
      <c r="P28" s="692"/>
      <c r="Q28" s="692">
        <f t="shared" si="15"/>
        <v>44.550000000000004</v>
      </c>
      <c r="R28" s="692">
        <f t="shared" si="15"/>
        <v>44.550000000000004</v>
      </c>
      <c r="S28" s="456"/>
      <c r="T28" s="456"/>
      <c r="U28" s="456"/>
      <c r="V28" s="286"/>
      <c r="W28" s="767"/>
    </row>
    <row r="29" spans="1:25" s="59" customFormat="1" ht="16.5" customHeight="1">
      <c r="A29" s="769"/>
      <c r="B29" s="656"/>
      <c r="C29" s="404"/>
      <c r="D29" s="641"/>
      <c r="E29" s="405"/>
      <c r="F29" s="664">
        <f>F13-SUM(F14:F28)</f>
        <v>0</v>
      </c>
      <c r="G29" s="664">
        <f t="shared" ref="G29:U29" si="16">G13-SUM(G14:G28)</f>
        <v>0</v>
      </c>
      <c r="H29" s="664">
        <f>H13-SUM(H14:H28)</f>
        <v>0</v>
      </c>
      <c r="I29" s="664">
        <f t="shared" si="16"/>
        <v>0</v>
      </c>
      <c r="J29" s="664">
        <f t="shared" si="16"/>
        <v>0</v>
      </c>
      <c r="K29" s="664">
        <f t="shared" si="16"/>
        <v>0</v>
      </c>
      <c r="L29" s="664">
        <f t="shared" si="16"/>
        <v>0</v>
      </c>
      <c r="M29" s="664">
        <f t="shared" si="16"/>
        <v>0</v>
      </c>
      <c r="N29" s="664">
        <f t="shared" si="16"/>
        <v>0</v>
      </c>
      <c r="O29" s="664">
        <f t="shared" si="16"/>
        <v>0</v>
      </c>
      <c r="P29" s="664">
        <f t="shared" si="16"/>
        <v>0</v>
      </c>
      <c r="Q29" s="664">
        <f t="shared" si="16"/>
        <v>0</v>
      </c>
      <c r="R29" s="664">
        <f t="shared" si="16"/>
        <v>0</v>
      </c>
      <c r="S29" s="664">
        <f t="shared" si="16"/>
        <v>0</v>
      </c>
      <c r="T29" s="664">
        <f t="shared" si="16"/>
        <v>0</v>
      </c>
      <c r="U29" s="664">
        <f t="shared" si="16"/>
        <v>0</v>
      </c>
      <c r="V29" s="766"/>
      <c r="W29" s="406"/>
      <c r="X29" s="406"/>
      <c r="Y29" s="766"/>
    </row>
    <row r="30" spans="1:25" s="401" customFormat="1" ht="16.5" customHeight="1">
      <c r="A30" s="307"/>
      <c r="B30" s="602" t="s">
        <v>892</v>
      </c>
      <c r="C30" s="427"/>
      <c r="D30" s="398" t="s">
        <v>890</v>
      </c>
      <c r="E30" s="399"/>
      <c r="F30" s="669">
        <f>0.045*F12</f>
        <v>336.59999999999997</v>
      </c>
      <c r="G30" s="669">
        <f t="shared" ref="G30:R30" si="17">0.045*G12</f>
        <v>148.5</v>
      </c>
      <c r="H30" s="669">
        <f t="shared" si="17"/>
        <v>148.5</v>
      </c>
      <c r="I30" s="669">
        <f t="shared" si="17"/>
        <v>297</v>
      </c>
      <c r="J30" s="669">
        <f t="shared" si="17"/>
        <v>148.5</v>
      </c>
      <c r="K30" s="669">
        <f t="shared" si="17"/>
        <v>148.5</v>
      </c>
      <c r="L30" s="669">
        <f t="shared" si="17"/>
        <v>297</v>
      </c>
      <c r="M30" s="669">
        <f t="shared" si="17"/>
        <v>148.5</v>
      </c>
      <c r="N30" s="669">
        <f t="shared" si="17"/>
        <v>148.5</v>
      </c>
      <c r="O30" s="669">
        <f t="shared" si="17"/>
        <v>148.5</v>
      </c>
      <c r="P30" s="669">
        <f t="shared" si="17"/>
        <v>39.6</v>
      </c>
      <c r="Q30" s="669">
        <f t="shared" si="17"/>
        <v>445.5</v>
      </c>
      <c r="R30" s="669">
        <f t="shared" si="17"/>
        <v>445.5</v>
      </c>
      <c r="S30" s="669">
        <f>1*S12</f>
        <v>220</v>
      </c>
      <c r="T30" s="669">
        <f>1*T12</f>
        <v>220</v>
      </c>
      <c r="U30" s="669">
        <f>1*U12</f>
        <v>440</v>
      </c>
      <c r="W30" s="308"/>
      <c r="X30" s="308"/>
    </row>
    <row r="31" spans="1:25" s="59" customFormat="1" ht="15.75">
      <c r="A31" s="769"/>
      <c r="B31" s="656"/>
      <c r="C31" s="404"/>
      <c r="D31" s="768"/>
      <c r="E31" s="405"/>
      <c r="F31" s="690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442"/>
      <c r="T31" s="442"/>
      <c r="U31" s="454"/>
      <c r="V31" s="766"/>
      <c r="W31" s="766"/>
      <c r="X31" s="766"/>
      <c r="Y31" s="766"/>
    </row>
    <row r="32" spans="1:25" s="270" customFormat="1" ht="15.75">
      <c r="A32" s="413" t="s">
        <v>67</v>
      </c>
      <c r="B32" s="619" t="s">
        <v>893</v>
      </c>
      <c r="C32" s="269">
        <v>0.13</v>
      </c>
      <c r="D32" s="414" t="s">
        <v>890</v>
      </c>
      <c r="E32" s="415"/>
      <c r="F32" s="665">
        <f>0.13*F12</f>
        <v>972.4</v>
      </c>
      <c r="G32" s="665">
        <f t="shared" ref="G32:R32" si="18">0.13*G12</f>
        <v>429</v>
      </c>
      <c r="H32" s="665">
        <f t="shared" si="18"/>
        <v>429</v>
      </c>
      <c r="I32" s="665">
        <f t="shared" si="18"/>
        <v>858</v>
      </c>
      <c r="J32" s="665">
        <f t="shared" si="18"/>
        <v>429</v>
      </c>
      <c r="K32" s="665">
        <f t="shared" si="18"/>
        <v>429</v>
      </c>
      <c r="L32" s="665">
        <f t="shared" si="18"/>
        <v>858</v>
      </c>
      <c r="M32" s="665">
        <f t="shared" si="18"/>
        <v>429</v>
      </c>
      <c r="N32" s="665">
        <f t="shared" si="18"/>
        <v>429</v>
      </c>
      <c r="O32" s="665">
        <f t="shared" si="18"/>
        <v>429</v>
      </c>
      <c r="P32" s="665">
        <f t="shared" si="18"/>
        <v>114.4</v>
      </c>
      <c r="Q32" s="665">
        <f t="shared" si="18"/>
        <v>1287</v>
      </c>
      <c r="R32" s="665">
        <f t="shared" si="18"/>
        <v>1287</v>
      </c>
      <c r="S32" s="665"/>
      <c r="T32" s="665"/>
      <c r="U32" s="665"/>
      <c r="V32" s="378"/>
      <c r="W32" s="378"/>
      <c r="X32" s="378"/>
      <c r="Y32" s="378"/>
    </row>
    <row r="33" spans="1:23" s="59" customFormat="1" ht="15.75">
      <c r="A33" s="769"/>
      <c r="B33" s="618"/>
      <c r="C33" s="404"/>
      <c r="D33" s="641"/>
      <c r="E33" s="405"/>
      <c r="F33" s="690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442"/>
      <c r="T33" s="442"/>
      <c r="U33" s="454"/>
      <c r="V33" s="766"/>
      <c r="W33" s="766"/>
    </row>
    <row r="34" spans="1:23" s="288" customFormat="1" ht="15.75">
      <c r="A34" s="417" t="s">
        <v>68</v>
      </c>
      <c r="B34" s="617" t="s">
        <v>69</v>
      </c>
      <c r="C34" s="427"/>
      <c r="D34" s="398"/>
      <c r="E34" s="399"/>
      <c r="F34" s="669">
        <f>0.1*F32</f>
        <v>97.240000000000009</v>
      </c>
      <c r="G34" s="669">
        <f>0.14*G32</f>
        <v>60.06</v>
      </c>
      <c r="H34" s="669">
        <f t="shared" ref="H34:R34" si="19">0.15*H32</f>
        <v>64.349999999999994</v>
      </c>
      <c r="I34" s="669">
        <f t="shared" si="19"/>
        <v>128.69999999999999</v>
      </c>
      <c r="J34" s="669">
        <f t="shared" si="19"/>
        <v>64.349999999999994</v>
      </c>
      <c r="K34" s="669">
        <f t="shared" si="19"/>
        <v>64.349999999999994</v>
      </c>
      <c r="L34" s="669">
        <f t="shared" si="19"/>
        <v>128.69999999999999</v>
      </c>
      <c r="M34" s="669">
        <f t="shared" si="19"/>
        <v>64.349999999999994</v>
      </c>
      <c r="N34" s="669">
        <f t="shared" si="19"/>
        <v>64.349999999999994</v>
      </c>
      <c r="O34" s="669">
        <f t="shared" si="19"/>
        <v>64.349999999999994</v>
      </c>
      <c r="P34" s="669">
        <f t="shared" si="19"/>
        <v>17.16</v>
      </c>
      <c r="Q34" s="669">
        <f t="shared" si="19"/>
        <v>193.04999999999998</v>
      </c>
      <c r="R34" s="669">
        <f t="shared" si="19"/>
        <v>193.04999999999998</v>
      </c>
      <c r="S34" s="400"/>
      <c r="T34" s="400"/>
      <c r="U34" s="328"/>
      <c r="V34" s="401"/>
      <c r="W34" s="401"/>
    </row>
    <row r="35" spans="1:23" s="59" customFormat="1" ht="15.75">
      <c r="A35" s="769" t="s">
        <v>70</v>
      </c>
      <c r="B35" s="656" t="s">
        <v>71</v>
      </c>
      <c r="C35" s="404"/>
      <c r="D35" s="641" t="s">
        <v>890</v>
      </c>
      <c r="E35" s="405"/>
      <c r="F35" s="692">
        <f>0.1*F34</f>
        <v>9.724000000000002</v>
      </c>
      <c r="G35" s="692">
        <f t="shared" ref="G35:O35" si="20">0.1*G34</f>
        <v>6.0060000000000002</v>
      </c>
      <c r="H35" s="692">
        <f t="shared" si="20"/>
        <v>6.4349999999999996</v>
      </c>
      <c r="I35" s="692">
        <f t="shared" si="20"/>
        <v>12.87</v>
      </c>
      <c r="J35" s="692">
        <f t="shared" si="20"/>
        <v>6.4349999999999996</v>
      </c>
      <c r="K35" s="692">
        <f t="shared" si="20"/>
        <v>6.4349999999999996</v>
      </c>
      <c r="L35" s="692">
        <f t="shared" si="20"/>
        <v>12.87</v>
      </c>
      <c r="M35" s="692">
        <f t="shared" si="20"/>
        <v>6.4349999999999996</v>
      </c>
      <c r="N35" s="692">
        <f t="shared" si="20"/>
        <v>6.4349999999999996</v>
      </c>
      <c r="O35" s="692">
        <f t="shared" si="20"/>
        <v>6.4349999999999996</v>
      </c>
      <c r="P35" s="692"/>
      <c r="Q35" s="692">
        <f>0.1*Q34</f>
        <v>19.305</v>
      </c>
      <c r="R35" s="692">
        <f>0.1*R34</f>
        <v>19.305</v>
      </c>
      <c r="S35" s="689"/>
      <c r="T35" s="689"/>
      <c r="U35" s="457"/>
      <c r="V35" s="766"/>
      <c r="W35" s="766"/>
    </row>
    <row r="36" spans="1:23" s="59" customFormat="1" ht="15.75">
      <c r="A36" s="769" t="s">
        <v>72</v>
      </c>
      <c r="B36" s="656" t="s">
        <v>73</v>
      </c>
      <c r="C36" s="404"/>
      <c r="D36" s="641" t="s">
        <v>890</v>
      </c>
      <c r="E36" s="405"/>
      <c r="F36" s="692">
        <f>0.1*F34</f>
        <v>9.724000000000002</v>
      </c>
      <c r="G36" s="692">
        <f t="shared" ref="G36:O36" si="21">0.1*G34</f>
        <v>6.0060000000000002</v>
      </c>
      <c r="H36" s="692">
        <f t="shared" si="21"/>
        <v>6.4349999999999996</v>
      </c>
      <c r="I36" s="692">
        <f t="shared" si="21"/>
        <v>12.87</v>
      </c>
      <c r="J36" s="692">
        <f t="shared" si="21"/>
        <v>6.4349999999999996</v>
      </c>
      <c r="K36" s="692">
        <f t="shared" si="21"/>
        <v>6.4349999999999996</v>
      </c>
      <c r="L36" s="692">
        <f t="shared" si="21"/>
        <v>12.87</v>
      </c>
      <c r="M36" s="692">
        <f t="shared" si="21"/>
        <v>6.4349999999999996</v>
      </c>
      <c r="N36" s="692">
        <f t="shared" si="21"/>
        <v>6.4349999999999996</v>
      </c>
      <c r="O36" s="692">
        <f t="shared" si="21"/>
        <v>6.4349999999999996</v>
      </c>
      <c r="P36" s="671">
        <f>0.5*P34</f>
        <v>8.58</v>
      </c>
      <c r="Q36" s="692">
        <f>0.1*Q34</f>
        <v>19.305</v>
      </c>
      <c r="R36" s="692">
        <f>0.1*R34</f>
        <v>19.305</v>
      </c>
      <c r="S36" s="689"/>
      <c r="T36" s="689"/>
      <c r="U36" s="457"/>
      <c r="V36" s="766"/>
      <c r="W36" s="766"/>
    </row>
    <row r="37" spans="1:23" s="368" customFormat="1" ht="15.75">
      <c r="A37" s="769" t="s">
        <v>74</v>
      </c>
      <c r="B37" s="656" t="s">
        <v>894</v>
      </c>
      <c r="C37" s="404"/>
      <c r="D37" s="641" t="s">
        <v>890</v>
      </c>
      <c r="E37" s="405"/>
      <c r="F37" s="692">
        <f>0.025*F34</f>
        <v>2.4310000000000005</v>
      </c>
      <c r="G37" s="692">
        <f t="shared" ref="G37:O37" si="22">0.025*G34</f>
        <v>1.5015000000000001</v>
      </c>
      <c r="H37" s="692">
        <f t="shared" si="22"/>
        <v>1.6087499999999999</v>
      </c>
      <c r="I37" s="692">
        <f t="shared" si="22"/>
        <v>3.2174999999999998</v>
      </c>
      <c r="J37" s="692">
        <f t="shared" si="22"/>
        <v>1.6087499999999999</v>
      </c>
      <c r="K37" s="692">
        <f t="shared" si="22"/>
        <v>1.6087499999999999</v>
      </c>
      <c r="L37" s="692">
        <f t="shared" si="22"/>
        <v>3.2174999999999998</v>
      </c>
      <c r="M37" s="692">
        <f t="shared" si="22"/>
        <v>1.6087499999999999</v>
      </c>
      <c r="N37" s="692">
        <f t="shared" si="22"/>
        <v>1.6087499999999999</v>
      </c>
      <c r="O37" s="692">
        <f t="shared" si="22"/>
        <v>1.6087499999999999</v>
      </c>
      <c r="P37" s="692">
        <f>0.5*P34</f>
        <v>8.58</v>
      </c>
      <c r="Q37" s="692">
        <f>0.025*Q34</f>
        <v>4.8262499999999999</v>
      </c>
      <c r="R37" s="692">
        <f>0.025*R34</f>
        <v>4.8262499999999999</v>
      </c>
      <c r="S37" s="689"/>
      <c r="T37" s="689"/>
      <c r="U37" s="457"/>
      <c r="V37" s="766"/>
      <c r="W37" s="766"/>
    </row>
    <row r="38" spans="1:23" s="432" customFormat="1" ht="15.75">
      <c r="A38" s="769" t="s">
        <v>76</v>
      </c>
      <c r="B38" s="658" t="s">
        <v>77</v>
      </c>
      <c r="C38" s="429"/>
      <c r="D38" s="430" t="s">
        <v>890</v>
      </c>
      <c r="E38" s="431"/>
      <c r="F38" s="692">
        <f>0.2*F34</f>
        <v>19.448000000000004</v>
      </c>
      <c r="G38" s="692">
        <f>0.2*G34</f>
        <v>12.012</v>
      </c>
      <c r="H38" s="692">
        <f>0.2*H34</f>
        <v>12.87</v>
      </c>
      <c r="I38" s="692">
        <f>0.2*I34</f>
        <v>25.74</v>
      </c>
      <c r="J38" s="692">
        <f t="shared" ref="J38:O38" si="23">0.2*J34</f>
        <v>12.87</v>
      </c>
      <c r="K38" s="692">
        <f t="shared" si="23"/>
        <v>12.87</v>
      </c>
      <c r="L38" s="692">
        <f t="shared" si="23"/>
        <v>25.74</v>
      </c>
      <c r="M38" s="692">
        <f t="shared" si="23"/>
        <v>12.87</v>
      </c>
      <c r="N38" s="692">
        <f t="shared" si="23"/>
        <v>12.87</v>
      </c>
      <c r="O38" s="692">
        <f t="shared" si="23"/>
        <v>12.87</v>
      </c>
      <c r="P38" s="692"/>
      <c r="Q38" s="692">
        <f>0.2*Q34</f>
        <v>38.61</v>
      </c>
      <c r="R38" s="692">
        <f>0.1*R34</f>
        <v>19.305</v>
      </c>
      <c r="S38" s="689"/>
      <c r="T38" s="689"/>
      <c r="U38" s="437"/>
    </row>
    <row r="39" spans="1:23" s="626" customFormat="1" ht="31.5">
      <c r="A39" s="769" t="s">
        <v>78</v>
      </c>
      <c r="B39" s="658" t="s">
        <v>895</v>
      </c>
      <c r="C39" s="630"/>
      <c r="D39" s="629" t="s">
        <v>890</v>
      </c>
      <c r="E39" s="628"/>
      <c r="F39" s="692">
        <f t="shared" ref="F39:O39" si="24">0.2*F34</f>
        <v>19.448000000000004</v>
      </c>
      <c r="G39" s="692">
        <f t="shared" si="24"/>
        <v>12.012</v>
      </c>
      <c r="H39" s="692">
        <f t="shared" si="24"/>
        <v>12.87</v>
      </c>
      <c r="I39" s="692">
        <f t="shared" si="24"/>
        <v>25.74</v>
      </c>
      <c r="J39" s="692">
        <f t="shared" si="24"/>
        <v>12.87</v>
      </c>
      <c r="K39" s="692">
        <f t="shared" si="24"/>
        <v>12.87</v>
      </c>
      <c r="L39" s="692">
        <f t="shared" si="24"/>
        <v>25.74</v>
      </c>
      <c r="M39" s="692">
        <f t="shared" si="24"/>
        <v>12.87</v>
      </c>
      <c r="N39" s="692">
        <f t="shared" si="24"/>
        <v>12.87</v>
      </c>
      <c r="O39" s="692">
        <f t="shared" si="24"/>
        <v>12.87</v>
      </c>
      <c r="P39" s="692"/>
      <c r="Q39" s="692">
        <f>0.2*Q34</f>
        <v>38.61</v>
      </c>
      <c r="R39" s="692">
        <f>0.3*R34</f>
        <v>57.914999999999992</v>
      </c>
      <c r="S39" s="634"/>
      <c r="T39" s="634"/>
      <c r="U39" s="627"/>
    </row>
    <row r="40" spans="1:23" s="626" customFormat="1" ht="31.5">
      <c r="A40" s="769" t="s">
        <v>80</v>
      </c>
      <c r="B40" s="658" t="s">
        <v>896</v>
      </c>
      <c r="C40" s="630"/>
      <c r="D40" s="629" t="s">
        <v>890</v>
      </c>
      <c r="E40" s="628"/>
      <c r="F40" s="692">
        <f>0.1*F34</f>
        <v>9.724000000000002</v>
      </c>
      <c r="G40" s="692">
        <f t="shared" ref="G40:O40" si="25">0.1*G34</f>
        <v>6.0060000000000002</v>
      </c>
      <c r="H40" s="692">
        <f t="shared" si="25"/>
        <v>6.4349999999999996</v>
      </c>
      <c r="I40" s="692">
        <f t="shared" si="25"/>
        <v>12.87</v>
      </c>
      <c r="J40" s="692">
        <f t="shared" si="25"/>
        <v>6.4349999999999996</v>
      </c>
      <c r="K40" s="692">
        <f t="shared" si="25"/>
        <v>6.4349999999999996</v>
      </c>
      <c r="L40" s="692">
        <f t="shared" si="25"/>
        <v>12.87</v>
      </c>
      <c r="M40" s="692">
        <f t="shared" si="25"/>
        <v>6.4349999999999996</v>
      </c>
      <c r="N40" s="692">
        <f t="shared" si="25"/>
        <v>6.4349999999999996</v>
      </c>
      <c r="O40" s="692">
        <f t="shared" si="25"/>
        <v>6.4349999999999996</v>
      </c>
      <c r="P40" s="692"/>
      <c r="Q40" s="692">
        <f>0.1*Q34</f>
        <v>19.305</v>
      </c>
      <c r="R40" s="692">
        <f>0.1*R34</f>
        <v>19.305</v>
      </c>
      <c r="S40" s="634"/>
      <c r="T40" s="634"/>
      <c r="U40" s="627"/>
    </row>
    <row r="41" spans="1:23" s="59" customFormat="1" ht="15.75">
      <c r="A41" s="769" t="s">
        <v>82</v>
      </c>
      <c r="B41" s="656" t="s">
        <v>83</v>
      </c>
      <c r="C41" s="404"/>
      <c r="D41" s="641" t="s">
        <v>890</v>
      </c>
      <c r="E41" s="405"/>
      <c r="F41" s="692">
        <f>0.1*F34</f>
        <v>9.724000000000002</v>
      </c>
      <c r="G41" s="692">
        <f t="shared" ref="G41:O41" si="26">0.1*G34</f>
        <v>6.0060000000000002</v>
      </c>
      <c r="H41" s="692">
        <f t="shared" si="26"/>
        <v>6.4349999999999996</v>
      </c>
      <c r="I41" s="692">
        <f t="shared" si="26"/>
        <v>12.87</v>
      </c>
      <c r="J41" s="692">
        <f t="shared" si="26"/>
        <v>6.4349999999999996</v>
      </c>
      <c r="K41" s="692">
        <f t="shared" si="26"/>
        <v>6.4349999999999996</v>
      </c>
      <c r="L41" s="692">
        <f t="shared" si="26"/>
        <v>12.87</v>
      </c>
      <c r="M41" s="692">
        <f t="shared" si="26"/>
        <v>6.4349999999999996</v>
      </c>
      <c r="N41" s="692">
        <f t="shared" si="26"/>
        <v>6.4349999999999996</v>
      </c>
      <c r="O41" s="692">
        <f t="shared" si="26"/>
        <v>6.4349999999999996</v>
      </c>
      <c r="P41" s="692"/>
      <c r="Q41" s="692">
        <f>0.1*Q34</f>
        <v>19.305</v>
      </c>
      <c r="R41" s="692">
        <f>0.1*R34</f>
        <v>19.305</v>
      </c>
      <c r="S41" s="689"/>
      <c r="T41" s="689"/>
      <c r="U41" s="457"/>
      <c r="V41" s="766"/>
      <c r="W41" s="766"/>
    </row>
    <row r="42" spans="1:23" s="59" customFormat="1" ht="16.5" customHeight="1">
      <c r="A42" s="769" t="s">
        <v>84</v>
      </c>
      <c r="B42" s="656" t="s">
        <v>85</v>
      </c>
      <c r="C42" s="404"/>
      <c r="D42" s="641" t="s">
        <v>890</v>
      </c>
      <c r="E42" s="405"/>
      <c r="F42" s="692">
        <f>0.1*F34</f>
        <v>9.724000000000002</v>
      </c>
      <c r="G42" s="692">
        <f t="shared" ref="G42:O42" si="27">0.1*G34</f>
        <v>6.0060000000000002</v>
      </c>
      <c r="H42" s="692">
        <f t="shared" si="27"/>
        <v>6.4349999999999996</v>
      </c>
      <c r="I42" s="692">
        <f t="shared" si="27"/>
        <v>12.87</v>
      </c>
      <c r="J42" s="692">
        <f t="shared" si="27"/>
        <v>6.4349999999999996</v>
      </c>
      <c r="K42" s="692">
        <f t="shared" si="27"/>
        <v>6.4349999999999996</v>
      </c>
      <c r="L42" s="692">
        <f t="shared" si="27"/>
        <v>12.87</v>
      </c>
      <c r="M42" s="692">
        <f t="shared" si="27"/>
        <v>6.4349999999999996</v>
      </c>
      <c r="N42" s="692">
        <f t="shared" si="27"/>
        <v>6.4349999999999996</v>
      </c>
      <c r="O42" s="692">
        <f t="shared" si="27"/>
        <v>6.4349999999999996</v>
      </c>
      <c r="P42" s="692"/>
      <c r="Q42" s="692">
        <f>0.1*Q34</f>
        <v>19.305</v>
      </c>
      <c r="R42" s="692">
        <f>0.1*R34</f>
        <v>19.305</v>
      </c>
      <c r="S42" s="689"/>
      <c r="T42" s="689"/>
      <c r="U42" s="457"/>
      <c r="V42" s="766"/>
      <c r="W42" s="766"/>
    </row>
    <row r="43" spans="1:23" s="59" customFormat="1" ht="15.75">
      <c r="A43" s="769" t="s">
        <v>86</v>
      </c>
      <c r="B43" s="656" t="s">
        <v>87</v>
      </c>
      <c r="C43" s="404"/>
      <c r="D43" s="641" t="s">
        <v>890</v>
      </c>
      <c r="E43" s="405"/>
      <c r="F43" s="692">
        <f>0.025*F34</f>
        <v>2.4310000000000005</v>
      </c>
      <c r="G43" s="692">
        <f t="shared" ref="G43:O43" si="28">0.025*G34</f>
        <v>1.5015000000000001</v>
      </c>
      <c r="H43" s="692">
        <f t="shared" si="28"/>
        <v>1.6087499999999999</v>
      </c>
      <c r="I43" s="692">
        <f t="shared" si="28"/>
        <v>3.2174999999999998</v>
      </c>
      <c r="J43" s="692">
        <f t="shared" si="28"/>
        <v>1.6087499999999999</v>
      </c>
      <c r="K43" s="692">
        <f t="shared" si="28"/>
        <v>1.6087499999999999</v>
      </c>
      <c r="L43" s="692">
        <f t="shared" si="28"/>
        <v>3.2174999999999998</v>
      </c>
      <c r="M43" s="692">
        <f t="shared" si="28"/>
        <v>1.6087499999999999</v>
      </c>
      <c r="N43" s="692">
        <f t="shared" si="28"/>
        <v>1.6087499999999999</v>
      </c>
      <c r="O43" s="692">
        <f t="shared" si="28"/>
        <v>1.6087499999999999</v>
      </c>
      <c r="P43" s="692"/>
      <c r="Q43" s="692">
        <f>0.025*Q34</f>
        <v>4.8262499999999999</v>
      </c>
      <c r="R43" s="692">
        <f>0.025*R34</f>
        <v>4.8262499999999999</v>
      </c>
      <c r="S43" s="689"/>
      <c r="T43" s="689"/>
      <c r="U43" s="457"/>
      <c r="V43" s="766"/>
      <c r="W43" s="766"/>
    </row>
    <row r="44" spans="1:23" s="59" customFormat="1" ht="15.75">
      <c r="A44" s="769" t="s">
        <v>88</v>
      </c>
      <c r="B44" s="656" t="s">
        <v>89</v>
      </c>
      <c r="C44" s="404"/>
      <c r="D44" s="641" t="s">
        <v>890</v>
      </c>
      <c r="E44" s="405"/>
      <c r="F44" s="692">
        <f>0.025*F34</f>
        <v>2.4310000000000005</v>
      </c>
      <c r="G44" s="692">
        <f t="shared" ref="G44:O44" si="29">0.025*G34</f>
        <v>1.5015000000000001</v>
      </c>
      <c r="H44" s="692">
        <f t="shared" si="29"/>
        <v>1.6087499999999999</v>
      </c>
      <c r="I44" s="692">
        <f t="shared" si="29"/>
        <v>3.2174999999999998</v>
      </c>
      <c r="J44" s="692">
        <f t="shared" si="29"/>
        <v>1.6087499999999999</v>
      </c>
      <c r="K44" s="692">
        <f t="shared" si="29"/>
        <v>1.6087499999999999</v>
      </c>
      <c r="L44" s="692">
        <f t="shared" si="29"/>
        <v>3.2174999999999998</v>
      </c>
      <c r="M44" s="692">
        <f t="shared" si="29"/>
        <v>1.6087499999999999</v>
      </c>
      <c r="N44" s="692">
        <f t="shared" si="29"/>
        <v>1.6087499999999999</v>
      </c>
      <c r="O44" s="692">
        <f t="shared" si="29"/>
        <v>1.6087499999999999</v>
      </c>
      <c r="P44" s="692"/>
      <c r="Q44" s="692">
        <f>0.025*Q34</f>
        <v>4.8262499999999999</v>
      </c>
      <c r="R44" s="692">
        <f>0.025*R34</f>
        <v>4.8262499999999999</v>
      </c>
      <c r="S44" s="689"/>
      <c r="T44" s="689"/>
      <c r="U44" s="457"/>
      <c r="V44" s="766"/>
      <c r="W44" s="766"/>
    </row>
    <row r="45" spans="1:23" s="368" customFormat="1" ht="15.75">
      <c r="A45" s="769" t="s">
        <v>90</v>
      </c>
      <c r="B45" s="658" t="s">
        <v>91</v>
      </c>
      <c r="C45" s="404"/>
      <c r="D45" s="641" t="s">
        <v>890</v>
      </c>
      <c r="E45" s="405"/>
      <c r="F45" s="692">
        <f>0.025*F34</f>
        <v>2.4310000000000005</v>
      </c>
      <c r="G45" s="692">
        <f t="shared" ref="G45:O45" si="30">0.025*G34</f>
        <v>1.5015000000000001</v>
      </c>
      <c r="H45" s="692">
        <f t="shared" si="30"/>
        <v>1.6087499999999999</v>
      </c>
      <c r="I45" s="692">
        <f t="shared" si="30"/>
        <v>3.2174999999999998</v>
      </c>
      <c r="J45" s="692">
        <f t="shared" si="30"/>
        <v>1.6087499999999999</v>
      </c>
      <c r="K45" s="692">
        <f t="shared" si="30"/>
        <v>1.6087499999999999</v>
      </c>
      <c r="L45" s="692">
        <f t="shared" si="30"/>
        <v>3.2174999999999998</v>
      </c>
      <c r="M45" s="692">
        <f t="shared" si="30"/>
        <v>1.6087499999999999</v>
      </c>
      <c r="N45" s="692">
        <f t="shared" si="30"/>
        <v>1.6087499999999999</v>
      </c>
      <c r="O45" s="692">
        <f t="shared" si="30"/>
        <v>1.6087499999999999</v>
      </c>
      <c r="P45" s="692"/>
      <c r="Q45" s="692">
        <f>0.025*Q34</f>
        <v>4.8262499999999999</v>
      </c>
      <c r="R45" s="692">
        <f>0.025*R34</f>
        <v>4.8262499999999999</v>
      </c>
      <c r="S45" s="689"/>
      <c r="T45" s="689"/>
      <c r="U45" s="457"/>
      <c r="V45" s="766"/>
      <c r="W45" s="766"/>
    </row>
    <row r="46" spans="1:23" s="59" customFormat="1" ht="15.75">
      <c r="A46" s="769"/>
      <c r="B46" s="656"/>
      <c r="C46" s="404"/>
      <c r="D46" s="641"/>
      <c r="E46" s="405"/>
      <c r="F46" s="664">
        <f t="shared" ref="F46:U46" si="31">F34-SUM(F35:F45)</f>
        <v>0</v>
      </c>
      <c r="G46" s="664">
        <f t="shared" si="31"/>
        <v>0</v>
      </c>
      <c r="H46" s="664">
        <f t="shared" si="31"/>
        <v>0</v>
      </c>
      <c r="I46" s="664">
        <f t="shared" si="31"/>
        <v>0</v>
      </c>
      <c r="J46" s="664">
        <f t="shared" si="31"/>
        <v>0</v>
      </c>
      <c r="K46" s="664">
        <f t="shared" si="31"/>
        <v>0</v>
      </c>
      <c r="L46" s="664">
        <f t="shared" si="31"/>
        <v>0</v>
      </c>
      <c r="M46" s="664">
        <f t="shared" si="31"/>
        <v>0</v>
      </c>
      <c r="N46" s="664">
        <f t="shared" si="31"/>
        <v>0</v>
      </c>
      <c r="O46" s="664">
        <f t="shared" si="31"/>
        <v>0</v>
      </c>
      <c r="P46" s="664">
        <f t="shared" si="31"/>
        <v>0</v>
      </c>
      <c r="Q46" s="664">
        <f t="shared" si="31"/>
        <v>0</v>
      </c>
      <c r="R46" s="664">
        <f t="shared" si="31"/>
        <v>0</v>
      </c>
      <c r="S46" s="664">
        <f t="shared" si="31"/>
        <v>0</v>
      </c>
      <c r="T46" s="664">
        <f t="shared" si="31"/>
        <v>0</v>
      </c>
      <c r="U46" s="664">
        <f t="shared" si="31"/>
        <v>0</v>
      </c>
      <c r="V46" s="766"/>
      <c r="W46" s="766"/>
    </row>
    <row r="47" spans="1:23" s="59" customFormat="1" ht="15.75">
      <c r="A47" s="769"/>
      <c r="B47" s="618"/>
      <c r="C47" s="404"/>
      <c r="D47" s="641"/>
      <c r="E47" s="405"/>
      <c r="F47" s="690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442"/>
      <c r="T47" s="442"/>
      <c r="U47" s="454"/>
      <c r="V47" s="766"/>
      <c r="W47" s="766"/>
    </row>
    <row r="48" spans="1:23" s="288" customFormat="1" ht="15.75">
      <c r="A48" s="417" t="s">
        <v>94</v>
      </c>
      <c r="B48" s="617" t="s">
        <v>897</v>
      </c>
      <c r="C48" s="427"/>
      <c r="D48" s="398"/>
      <c r="E48" s="399"/>
      <c r="F48" s="669"/>
      <c r="G48" s="654"/>
      <c r="H48" s="654"/>
      <c r="I48" s="654"/>
      <c r="J48" s="654"/>
      <c r="K48" s="654"/>
      <c r="L48" s="654"/>
      <c r="M48" s="654"/>
      <c r="N48" s="654"/>
      <c r="O48" s="654"/>
      <c r="P48" s="654"/>
      <c r="Q48" s="654"/>
      <c r="R48" s="654"/>
      <c r="S48" s="400"/>
      <c r="T48" s="400"/>
      <c r="U48" s="328"/>
      <c r="V48" s="401"/>
      <c r="W48" s="401"/>
    </row>
    <row r="49" spans="1:21" s="59" customFormat="1" ht="15.75">
      <c r="A49" s="769"/>
      <c r="B49" s="618"/>
      <c r="C49" s="404"/>
      <c r="D49" s="641"/>
      <c r="E49" s="405"/>
      <c r="F49" s="644"/>
      <c r="G49" s="644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442"/>
      <c r="T49" s="442"/>
      <c r="U49" s="454"/>
    </row>
    <row r="50" spans="1:21" s="235" customFormat="1" ht="15.75">
      <c r="A50" s="361" t="s">
        <v>96</v>
      </c>
      <c r="B50" s="659" t="s">
        <v>97</v>
      </c>
      <c r="C50" s="376"/>
      <c r="D50" s="233"/>
      <c r="E50" s="234"/>
      <c r="F50" s="666">
        <f>0.01*F32</f>
        <v>9.7240000000000002</v>
      </c>
      <c r="G50" s="666">
        <f>0.02*G32</f>
        <v>8.58</v>
      </c>
      <c r="H50" s="666">
        <f>0.01*H$32</f>
        <v>4.29</v>
      </c>
      <c r="I50" s="666">
        <f>0.53*I$32</f>
        <v>454.74</v>
      </c>
      <c r="J50" s="666">
        <f>0.54*J$32</f>
        <v>231.66000000000003</v>
      </c>
      <c r="K50" s="666">
        <f>0.01*K$32</f>
        <v>4.29</v>
      </c>
      <c r="L50" s="666">
        <f>0.01*L$32</f>
        <v>8.58</v>
      </c>
      <c r="M50" s="666">
        <f>0.01*M$32</f>
        <v>4.29</v>
      </c>
      <c r="N50" s="666">
        <f>0.01*N$32</f>
        <v>4.29</v>
      </c>
      <c r="O50" s="666">
        <f>0.01*O$32</f>
        <v>4.29</v>
      </c>
      <c r="P50" s="666"/>
      <c r="Q50" s="666">
        <f>0.15*Q$32</f>
        <v>193.04999999999998</v>
      </c>
      <c r="R50" s="666">
        <f>0.15*R$32</f>
        <v>193.04999999999998</v>
      </c>
      <c r="S50" s="666"/>
      <c r="T50" s="666"/>
      <c r="U50" s="666"/>
    </row>
    <row r="51" spans="1:21" s="59" customFormat="1" ht="15.75">
      <c r="A51" s="769" t="s">
        <v>98</v>
      </c>
      <c r="B51" s="656" t="s">
        <v>99</v>
      </c>
      <c r="C51" s="268"/>
      <c r="D51" s="641" t="s">
        <v>890</v>
      </c>
      <c r="E51" s="405"/>
      <c r="F51" s="671">
        <f>0.25*$F$50</f>
        <v>2.431</v>
      </c>
      <c r="G51" s="671">
        <f>0.25*$G$50</f>
        <v>2.145</v>
      </c>
      <c r="H51" s="671">
        <f>0.5*$H$50</f>
        <v>2.145</v>
      </c>
      <c r="I51" s="671">
        <f>0.25*$I$50</f>
        <v>113.685</v>
      </c>
      <c r="J51" s="671">
        <f>0.25*$J$50</f>
        <v>57.915000000000006</v>
      </c>
      <c r="K51" s="671">
        <f>0.5*$K$50</f>
        <v>2.145</v>
      </c>
      <c r="L51" s="671">
        <f>0.25*$L$50</f>
        <v>2.145</v>
      </c>
      <c r="M51" s="671"/>
      <c r="N51" s="671">
        <f>0.25*$N$50</f>
        <v>1.0725</v>
      </c>
      <c r="O51" s="671">
        <f>0.5*$O$50</f>
        <v>2.145</v>
      </c>
      <c r="P51" s="671"/>
      <c r="Q51" s="671">
        <f>0.25*Q50</f>
        <v>48.262499999999996</v>
      </c>
      <c r="R51" s="671">
        <f>0.25*R50</f>
        <v>48.262499999999996</v>
      </c>
      <c r="S51" s="689"/>
      <c r="T51" s="689"/>
      <c r="U51" s="457"/>
    </row>
    <row r="52" spans="1:21" s="369" customFormat="1" ht="15.75">
      <c r="A52" s="769" t="s">
        <v>100</v>
      </c>
      <c r="B52" s="658" t="s">
        <v>101</v>
      </c>
      <c r="C52" s="421"/>
      <c r="D52" s="430" t="s">
        <v>890</v>
      </c>
      <c r="E52" s="431"/>
      <c r="F52" s="671">
        <f>0.25*$F$50</f>
        <v>2.431</v>
      </c>
      <c r="G52" s="671">
        <f>0.25*$G$50</f>
        <v>2.145</v>
      </c>
      <c r="H52" s="671"/>
      <c r="I52" s="671">
        <f>0.25*$I$50</f>
        <v>113.685</v>
      </c>
      <c r="J52" s="671">
        <f>0.25*$J$50</f>
        <v>57.915000000000006</v>
      </c>
      <c r="K52" s="671"/>
      <c r="L52" s="671">
        <f>0.25*$L$50</f>
        <v>2.145</v>
      </c>
      <c r="M52" s="671"/>
      <c r="N52" s="671">
        <f>0.25*$N$50</f>
        <v>1.0725</v>
      </c>
      <c r="O52" s="671">
        <f>0.5*$O$50</f>
        <v>2.145</v>
      </c>
      <c r="P52" s="671"/>
      <c r="Q52" s="671">
        <f>0.25*$Q$50</f>
        <v>48.262499999999996</v>
      </c>
      <c r="R52" s="671">
        <f>0.25*$R$50</f>
        <v>48.262499999999996</v>
      </c>
      <c r="S52" s="689"/>
      <c r="T52" s="689"/>
      <c r="U52" s="437"/>
    </row>
    <row r="53" spans="1:21" s="420" customFormat="1" ht="15.75">
      <c r="A53" s="769" t="s">
        <v>102</v>
      </c>
      <c r="B53" s="658" t="s">
        <v>103</v>
      </c>
      <c r="C53" s="421"/>
      <c r="D53" s="430" t="s">
        <v>890</v>
      </c>
      <c r="E53" s="431"/>
      <c r="F53" s="671">
        <f>0.25*$F$50</f>
        <v>2.431</v>
      </c>
      <c r="G53" s="671">
        <f>0.25*$G$50</f>
        <v>2.145</v>
      </c>
      <c r="H53" s="671"/>
      <c r="I53" s="671">
        <f>0.25*$I$50</f>
        <v>113.685</v>
      </c>
      <c r="J53" s="671">
        <f>0.25*$J$50</f>
        <v>57.915000000000006</v>
      </c>
      <c r="K53" s="671"/>
      <c r="L53" s="671">
        <f>0.25*$L$50</f>
        <v>2.145</v>
      </c>
      <c r="M53" s="671">
        <f>0.5*$M$50</f>
        <v>2.145</v>
      </c>
      <c r="N53" s="671">
        <f>0.25*$N$50</f>
        <v>1.0725</v>
      </c>
      <c r="O53" s="671"/>
      <c r="P53" s="671"/>
      <c r="Q53" s="671">
        <f>0.25*$Q$50</f>
        <v>48.262499999999996</v>
      </c>
      <c r="R53" s="671">
        <f>0.25*$R$50</f>
        <v>48.262499999999996</v>
      </c>
      <c r="S53" s="689"/>
      <c r="T53" s="689"/>
      <c r="U53" s="437"/>
    </row>
    <row r="54" spans="1:21" s="59" customFormat="1" ht="15.75">
      <c r="A54" s="769" t="s">
        <v>104</v>
      </c>
      <c r="B54" s="656" t="s">
        <v>105</v>
      </c>
      <c r="C54" s="268"/>
      <c r="D54" s="430" t="s">
        <v>890</v>
      </c>
      <c r="E54" s="405"/>
      <c r="F54" s="671">
        <f>0.25*$F$50</f>
        <v>2.431</v>
      </c>
      <c r="G54" s="671">
        <f>0.25*$G$50</f>
        <v>2.145</v>
      </c>
      <c r="H54" s="671">
        <f>0.5*$H$50</f>
        <v>2.145</v>
      </c>
      <c r="I54" s="671">
        <f>0.25*$I$50</f>
        <v>113.685</v>
      </c>
      <c r="J54" s="671">
        <f>0.25*$J$50</f>
        <v>57.915000000000006</v>
      </c>
      <c r="K54" s="671">
        <f>0.5*$K$50</f>
        <v>2.145</v>
      </c>
      <c r="L54" s="671">
        <f>0.25*$L$50</f>
        <v>2.145</v>
      </c>
      <c r="M54" s="671">
        <f>0.5*$M$50</f>
        <v>2.145</v>
      </c>
      <c r="N54" s="671">
        <f>0.25*$N$50</f>
        <v>1.0725</v>
      </c>
      <c r="O54" s="671"/>
      <c r="P54" s="671"/>
      <c r="Q54" s="671">
        <f>0.25*$Q$50</f>
        <v>48.262499999999996</v>
      </c>
      <c r="R54" s="671">
        <f>0.25*$R$50</f>
        <v>48.262499999999996</v>
      </c>
      <c r="S54" s="689"/>
      <c r="T54" s="689"/>
      <c r="U54" s="457"/>
    </row>
    <row r="55" spans="1:21" s="240" customFormat="1" ht="15.75">
      <c r="A55" s="365"/>
      <c r="B55" s="616"/>
      <c r="C55" s="268"/>
      <c r="D55" s="238"/>
      <c r="E55" s="239"/>
      <c r="F55" s="664">
        <f>F50-SUM(F51:F54)</f>
        <v>0</v>
      </c>
      <c r="G55" s="664">
        <f t="shared" ref="G55:R55" si="32">G50-SUM(G51:G54)</f>
        <v>0</v>
      </c>
      <c r="H55" s="664">
        <f t="shared" si="32"/>
        <v>0</v>
      </c>
      <c r="I55" s="664">
        <f t="shared" si="32"/>
        <v>0</v>
      </c>
      <c r="J55" s="664">
        <f t="shared" si="32"/>
        <v>0</v>
      </c>
      <c r="K55" s="664">
        <f t="shared" si="32"/>
        <v>0</v>
      </c>
      <c r="L55" s="664">
        <f t="shared" si="32"/>
        <v>0</v>
      </c>
      <c r="M55" s="664">
        <f t="shared" si="32"/>
        <v>0</v>
      </c>
      <c r="N55" s="664">
        <f t="shared" si="32"/>
        <v>0</v>
      </c>
      <c r="O55" s="664">
        <f t="shared" si="32"/>
        <v>0</v>
      </c>
      <c r="P55" s="664"/>
      <c r="Q55" s="664">
        <f t="shared" si="32"/>
        <v>0</v>
      </c>
      <c r="R55" s="664">
        <f t="shared" si="32"/>
        <v>0</v>
      </c>
      <c r="S55" s="664"/>
      <c r="T55" s="664"/>
      <c r="U55" s="664"/>
    </row>
    <row r="56" spans="1:21" s="59" customFormat="1" ht="15.75">
      <c r="A56" s="769"/>
      <c r="B56" s="656"/>
      <c r="C56" s="404"/>
      <c r="D56" s="641"/>
      <c r="E56" s="405"/>
      <c r="F56" s="690"/>
      <c r="G56" s="673"/>
      <c r="H56" s="673"/>
      <c r="I56" s="673"/>
      <c r="J56" s="673"/>
      <c r="K56" s="673"/>
      <c r="L56" s="673"/>
      <c r="M56" s="673"/>
      <c r="N56" s="673"/>
      <c r="O56" s="673"/>
      <c r="P56" s="673"/>
      <c r="Q56" s="673"/>
      <c r="R56" s="673"/>
      <c r="S56" s="442"/>
      <c r="T56" s="442"/>
      <c r="U56" s="454"/>
    </row>
    <row r="57" spans="1:21" s="235" customFormat="1" ht="15.75">
      <c r="A57" s="361" t="s">
        <v>106</v>
      </c>
      <c r="B57" s="659" t="s">
        <v>107</v>
      </c>
      <c r="C57" s="376"/>
      <c r="D57" s="233"/>
      <c r="E57" s="234"/>
      <c r="F57" s="666">
        <f>0.01*F$32</f>
        <v>9.7240000000000002</v>
      </c>
      <c r="G57" s="666">
        <f>0.02*G32</f>
        <v>8.58</v>
      </c>
      <c r="H57" s="666">
        <f>0.01*H$32</f>
        <v>4.29</v>
      </c>
      <c r="I57" s="666">
        <f>0.02*I32</f>
        <v>17.16</v>
      </c>
      <c r="J57" s="666">
        <f>0.02*J32</f>
        <v>8.58</v>
      </c>
      <c r="K57" s="666">
        <f>0.01*K32</f>
        <v>4.29</v>
      </c>
      <c r="L57" s="666">
        <f>0.01*L$32</f>
        <v>8.58</v>
      </c>
      <c r="M57" s="666">
        <f>0.03*M$32</f>
        <v>12.87</v>
      </c>
      <c r="N57" s="666"/>
      <c r="O57" s="666"/>
      <c r="P57" s="666">
        <f>0.05*P$32</f>
        <v>5.7200000000000006</v>
      </c>
      <c r="Q57" s="666">
        <f>0.06*Q$32</f>
        <v>77.22</v>
      </c>
      <c r="R57" s="666">
        <f>0.06*R$32</f>
        <v>77.22</v>
      </c>
      <c r="S57" s="666">
        <f>TRUNC(0.02*S32)</f>
        <v>0</v>
      </c>
      <c r="T57" s="666">
        <f>TRUNC(0.02*T32)</f>
        <v>0</v>
      </c>
      <c r="U57" s="666">
        <f>TRUNC(0.02*U32)</f>
        <v>0</v>
      </c>
    </row>
    <row r="58" spans="1:21" s="420" customFormat="1" ht="15.75">
      <c r="A58" s="657" t="s">
        <v>108</v>
      </c>
      <c r="B58" s="658" t="s">
        <v>99</v>
      </c>
      <c r="C58" s="429"/>
      <c r="D58" s="430" t="s">
        <v>890</v>
      </c>
      <c r="E58" s="431"/>
      <c r="F58" s="692">
        <f>0.2*$F$57</f>
        <v>1.9448000000000001</v>
      </c>
      <c r="G58" s="692">
        <f>0.2*$G$57</f>
        <v>1.7160000000000002</v>
      </c>
      <c r="H58" s="692">
        <f>0.5*$H$57</f>
        <v>2.145</v>
      </c>
      <c r="I58" s="692">
        <f>0.2*$I$57</f>
        <v>3.4320000000000004</v>
      </c>
      <c r="J58" s="692">
        <f>0.2*$J$57</f>
        <v>1.7160000000000002</v>
      </c>
      <c r="K58" s="692"/>
      <c r="L58" s="692">
        <f>0.2*$L$57</f>
        <v>1.7160000000000002</v>
      </c>
      <c r="M58" s="692">
        <f>0.2*$M$57</f>
        <v>2.5739999999999998</v>
      </c>
      <c r="N58" s="692"/>
      <c r="O58" s="692"/>
      <c r="P58" s="692">
        <f>1*P57</f>
        <v>5.7200000000000006</v>
      </c>
      <c r="Q58" s="692">
        <f>0.2*$Q$57</f>
        <v>15.444000000000001</v>
      </c>
      <c r="R58" s="692">
        <f>0.2*$R$57</f>
        <v>15.444000000000001</v>
      </c>
      <c r="S58" s="689"/>
      <c r="T58" s="689"/>
      <c r="U58" s="437"/>
    </row>
    <row r="59" spans="1:21" s="420" customFormat="1" ht="15.75">
      <c r="A59" s="657" t="s">
        <v>109</v>
      </c>
      <c r="B59" s="658" t="s">
        <v>110</v>
      </c>
      <c r="C59" s="429"/>
      <c r="D59" s="430" t="s">
        <v>890</v>
      </c>
      <c r="E59" s="431"/>
      <c r="F59" s="692">
        <f>0.2*$F$57</f>
        <v>1.9448000000000001</v>
      </c>
      <c r="G59" s="692">
        <f>0.2*$G$57</f>
        <v>1.7160000000000002</v>
      </c>
      <c r="H59" s="692"/>
      <c r="I59" s="692">
        <f>0.2*$I$57</f>
        <v>3.4320000000000004</v>
      </c>
      <c r="J59" s="692">
        <f>0.2*$J$57</f>
        <v>1.7160000000000002</v>
      </c>
      <c r="K59" s="692"/>
      <c r="L59" s="692">
        <f>0.2*$L$57</f>
        <v>1.7160000000000002</v>
      </c>
      <c r="M59" s="692">
        <f>0.2*$M$57</f>
        <v>2.5739999999999998</v>
      </c>
      <c r="N59" s="692"/>
      <c r="O59" s="692"/>
      <c r="P59" s="692"/>
      <c r="Q59" s="692">
        <f>0.2*$Q$57</f>
        <v>15.444000000000001</v>
      </c>
      <c r="R59" s="692">
        <f>0.2*$R$57</f>
        <v>15.444000000000001</v>
      </c>
      <c r="S59" s="689"/>
      <c r="T59" s="689"/>
      <c r="U59" s="437"/>
    </row>
    <row r="60" spans="1:21" s="420" customFormat="1" ht="15.75">
      <c r="A60" s="657" t="s">
        <v>111</v>
      </c>
      <c r="B60" s="658" t="s">
        <v>112</v>
      </c>
      <c r="C60" s="429"/>
      <c r="D60" s="430" t="s">
        <v>890</v>
      </c>
      <c r="E60" s="431"/>
      <c r="F60" s="692">
        <f>0.2*$F$57</f>
        <v>1.9448000000000001</v>
      </c>
      <c r="G60" s="692">
        <f>0.2*$G$57</f>
        <v>1.7160000000000002</v>
      </c>
      <c r="H60" s="692">
        <f>0.5*$H$57</f>
        <v>2.145</v>
      </c>
      <c r="I60" s="692">
        <f>0.2*$I$57</f>
        <v>3.4320000000000004</v>
      </c>
      <c r="J60" s="692">
        <f>0.2*$J$57</f>
        <v>1.7160000000000002</v>
      </c>
      <c r="K60" s="692"/>
      <c r="L60" s="692">
        <f>0.2*$L$57</f>
        <v>1.7160000000000002</v>
      </c>
      <c r="M60" s="692">
        <f>0.2*$M$57</f>
        <v>2.5739999999999998</v>
      </c>
      <c r="N60" s="692"/>
      <c r="O60" s="692"/>
      <c r="P60" s="692"/>
      <c r="Q60" s="692">
        <f>0.2*$Q$57</f>
        <v>15.444000000000001</v>
      </c>
      <c r="R60" s="692">
        <f>0.2*$R$57</f>
        <v>15.444000000000001</v>
      </c>
      <c r="S60" s="689"/>
      <c r="T60" s="689"/>
      <c r="U60" s="437"/>
    </row>
    <row r="61" spans="1:21" s="420" customFormat="1" ht="15.75">
      <c r="A61" s="657" t="s">
        <v>113</v>
      </c>
      <c r="B61" s="658" t="s">
        <v>898</v>
      </c>
      <c r="C61" s="429"/>
      <c r="D61" s="430" t="s">
        <v>890</v>
      </c>
      <c r="E61" s="431"/>
      <c r="F61" s="692">
        <f>0.2*$F$57</f>
        <v>1.9448000000000001</v>
      </c>
      <c r="G61" s="692">
        <f>0.2*$G$57</f>
        <v>1.7160000000000002</v>
      </c>
      <c r="H61" s="692"/>
      <c r="I61" s="692">
        <f>0.2*$I$57</f>
        <v>3.4320000000000004</v>
      </c>
      <c r="J61" s="692">
        <f>0.2*$J$57</f>
        <v>1.7160000000000002</v>
      </c>
      <c r="K61" s="692">
        <f>0.5*$K$57</f>
        <v>2.145</v>
      </c>
      <c r="L61" s="692">
        <f>0.2*$L$57</f>
        <v>1.7160000000000002</v>
      </c>
      <c r="M61" s="692">
        <f>0.2*$M$57</f>
        <v>2.5739999999999998</v>
      </c>
      <c r="N61" s="692"/>
      <c r="O61" s="692"/>
      <c r="P61" s="692"/>
      <c r="Q61" s="692">
        <f>0.2*$Q$57</f>
        <v>15.444000000000001</v>
      </c>
      <c r="R61" s="692">
        <f>0.2*$R$57</f>
        <v>15.444000000000001</v>
      </c>
      <c r="S61" s="689"/>
      <c r="T61" s="689"/>
      <c r="U61" s="437"/>
    </row>
    <row r="62" spans="1:21" s="420" customFormat="1" ht="15.75">
      <c r="A62" s="657" t="s">
        <v>115</v>
      </c>
      <c r="B62" s="658" t="s">
        <v>114</v>
      </c>
      <c r="C62" s="429"/>
      <c r="D62" s="430" t="s">
        <v>890</v>
      </c>
      <c r="E62" s="431"/>
      <c r="F62" s="692">
        <f>0.2*$F$57</f>
        <v>1.9448000000000001</v>
      </c>
      <c r="G62" s="692">
        <f>0.2*$G$57</f>
        <v>1.7160000000000002</v>
      </c>
      <c r="H62" s="692"/>
      <c r="I62" s="692">
        <f>0.2*$I$57</f>
        <v>3.4320000000000004</v>
      </c>
      <c r="J62" s="692">
        <f>0.2*$J$57</f>
        <v>1.7160000000000002</v>
      </c>
      <c r="K62" s="692">
        <f>0.5*$K$57</f>
        <v>2.145</v>
      </c>
      <c r="L62" s="692">
        <f>0.2*$L$57</f>
        <v>1.7160000000000002</v>
      </c>
      <c r="M62" s="692">
        <f>0.2*$M$57</f>
        <v>2.5739999999999998</v>
      </c>
      <c r="N62" s="692"/>
      <c r="O62" s="692"/>
      <c r="P62" s="692"/>
      <c r="Q62" s="692">
        <f>0.2*$Q$57</f>
        <v>15.444000000000001</v>
      </c>
      <c r="R62" s="692">
        <f>0.2*$R$57</f>
        <v>15.444000000000001</v>
      </c>
      <c r="S62" s="689"/>
      <c r="T62" s="689"/>
      <c r="U62" s="437"/>
    </row>
    <row r="63" spans="1:21" s="425" customFormat="1" ht="15.75">
      <c r="A63" s="422"/>
      <c r="B63" s="615"/>
      <c r="C63" s="423"/>
      <c r="D63" s="424"/>
      <c r="E63" s="344"/>
      <c r="F63" s="664">
        <f>F57-SUM(F58:F62)</f>
        <v>0</v>
      </c>
      <c r="G63" s="664">
        <f t="shared" ref="G63:U63" si="33">G57-SUM(G58:G62)</f>
        <v>0</v>
      </c>
      <c r="H63" s="664">
        <f t="shared" si="33"/>
        <v>0</v>
      </c>
      <c r="I63" s="664">
        <f t="shared" si="33"/>
        <v>0</v>
      </c>
      <c r="J63" s="664">
        <f t="shared" si="33"/>
        <v>0</v>
      </c>
      <c r="K63" s="664">
        <f>K57-SUM(K58:K62)</f>
        <v>0</v>
      </c>
      <c r="L63" s="664">
        <f t="shared" si="33"/>
        <v>0</v>
      </c>
      <c r="M63" s="664">
        <f t="shared" si="33"/>
        <v>0</v>
      </c>
      <c r="N63" s="664">
        <f t="shared" si="33"/>
        <v>0</v>
      </c>
      <c r="O63" s="664">
        <f t="shared" si="33"/>
        <v>0</v>
      </c>
      <c r="P63" s="664">
        <f t="shared" si="33"/>
        <v>0</v>
      </c>
      <c r="Q63" s="664">
        <f t="shared" si="33"/>
        <v>0</v>
      </c>
      <c r="R63" s="664">
        <f t="shared" si="33"/>
        <v>0</v>
      </c>
      <c r="S63" s="664">
        <f t="shared" si="33"/>
        <v>0</v>
      </c>
      <c r="T63" s="664">
        <f t="shared" si="33"/>
        <v>0</v>
      </c>
      <c r="U63" s="664">
        <f t="shared" si="33"/>
        <v>0</v>
      </c>
    </row>
    <row r="64" spans="1:21" s="59" customFormat="1" ht="15.75">
      <c r="A64" s="769"/>
      <c r="B64" s="656"/>
      <c r="C64" s="404"/>
      <c r="D64" s="641"/>
      <c r="E64" s="405"/>
      <c r="F64" s="690"/>
      <c r="G64" s="679"/>
      <c r="H64" s="679"/>
      <c r="I64" s="679"/>
      <c r="J64" s="679"/>
      <c r="K64" s="679"/>
      <c r="L64" s="679"/>
      <c r="M64" s="679"/>
      <c r="N64" s="679"/>
      <c r="O64" s="679"/>
      <c r="P64" s="679"/>
      <c r="Q64" s="679"/>
      <c r="R64" s="679"/>
      <c r="S64" s="442"/>
      <c r="T64" s="442"/>
      <c r="U64" s="454"/>
    </row>
    <row r="65" spans="1:21" s="235" customFormat="1" ht="15.75">
      <c r="A65" s="361" t="s">
        <v>117</v>
      </c>
      <c r="B65" s="659" t="s">
        <v>118</v>
      </c>
      <c r="C65" s="376"/>
      <c r="D65" s="233"/>
      <c r="E65" s="234"/>
      <c r="F65" s="666">
        <f>TRUNC(0*F$32)</f>
        <v>0</v>
      </c>
      <c r="G65" s="666">
        <f>TRUNC(0*G$32)</f>
        <v>0</v>
      </c>
      <c r="H65" s="666">
        <f>0.01*H$32</f>
        <v>4.29</v>
      </c>
      <c r="I65" s="666">
        <f>0.05*I$32</f>
        <v>42.900000000000006</v>
      </c>
      <c r="J65" s="666">
        <f>0.05*J$32</f>
        <v>21.450000000000003</v>
      </c>
      <c r="K65" s="666">
        <f>0.01*K$32</f>
        <v>4.29</v>
      </c>
      <c r="L65" s="666"/>
      <c r="M65" s="666">
        <f>0.03*M$32</f>
        <v>12.87</v>
      </c>
      <c r="N65" s="666">
        <f>0.05*N$32</f>
        <v>21.450000000000003</v>
      </c>
      <c r="O65" s="666">
        <f>0.01*O$32</f>
        <v>4.29</v>
      </c>
      <c r="P65" s="666"/>
      <c r="Q65" s="666">
        <f>0.02*Q$32</f>
        <v>25.740000000000002</v>
      </c>
      <c r="R65" s="666">
        <f>0.02*R$32</f>
        <v>25.740000000000002</v>
      </c>
      <c r="S65" s="666">
        <f>TRUNC(0.02*S$32)</f>
        <v>0</v>
      </c>
      <c r="T65" s="666">
        <f>TRUNC(0.02*T$32)</f>
        <v>0</v>
      </c>
      <c r="U65" s="666">
        <f>TRUNC(0.02*U$32)</f>
        <v>0</v>
      </c>
    </row>
    <row r="66" spans="1:21" s="369" customFormat="1" ht="15.75">
      <c r="A66" s="657" t="s">
        <v>119</v>
      </c>
      <c r="B66" s="658" t="s">
        <v>99</v>
      </c>
      <c r="C66" s="429"/>
      <c r="D66" s="430" t="s">
        <v>890</v>
      </c>
      <c r="E66" s="431"/>
      <c r="F66" s="692"/>
      <c r="G66" s="688"/>
      <c r="H66" s="688">
        <f>0.5*$H$65</f>
        <v>2.145</v>
      </c>
      <c r="I66" s="688">
        <f>0.5*$I$65</f>
        <v>21.450000000000003</v>
      </c>
      <c r="J66" s="688">
        <f>0.5*$J$65</f>
        <v>10.725000000000001</v>
      </c>
      <c r="K66" s="688">
        <f>0.5*$K$65</f>
        <v>2.145</v>
      </c>
      <c r="L66" s="688"/>
      <c r="M66" s="688">
        <f>0.5*$M$65</f>
        <v>6.4349999999999996</v>
      </c>
      <c r="N66" s="688">
        <f>0.5*$N$65</f>
        <v>10.725000000000001</v>
      </c>
      <c r="O66" s="688">
        <f>0.5*$O$65</f>
        <v>2.145</v>
      </c>
      <c r="P66" s="688"/>
      <c r="Q66" s="688">
        <f>0.5*$Q$65</f>
        <v>12.870000000000001</v>
      </c>
      <c r="R66" s="688">
        <f>0.5*$R$65</f>
        <v>12.870000000000001</v>
      </c>
      <c r="S66" s="688"/>
      <c r="T66" s="688"/>
      <c r="U66" s="688"/>
    </row>
    <row r="67" spans="1:21" s="59" customFormat="1" ht="15.75">
      <c r="A67" s="657" t="s">
        <v>120</v>
      </c>
      <c r="B67" s="656" t="s">
        <v>105</v>
      </c>
      <c r="C67" s="404"/>
      <c r="D67" s="641" t="s">
        <v>890</v>
      </c>
      <c r="E67" s="405"/>
      <c r="F67" s="692"/>
      <c r="G67" s="688"/>
      <c r="H67" s="688">
        <f>0.5*$H$65</f>
        <v>2.145</v>
      </c>
      <c r="I67" s="688">
        <f>0.5*$I$65</f>
        <v>21.450000000000003</v>
      </c>
      <c r="J67" s="688">
        <f>0.5*$J$65</f>
        <v>10.725000000000001</v>
      </c>
      <c r="K67" s="688">
        <f>0.5*$K$65</f>
        <v>2.145</v>
      </c>
      <c r="L67" s="688"/>
      <c r="M67" s="688">
        <f>0.5*$M$65</f>
        <v>6.4349999999999996</v>
      </c>
      <c r="N67" s="688">
        <f>0.5*$N$65</f>
        <v>10.725000000000001</v>
      </c>
      <c r="O67" s="688">
        <f>0.5*$O$65</f>
        <v>2.145</v>
      </c>
      <c r="P67" s="688"/>
      <c r="Q67" s="688">
        <f>0.5*$Q$65</f>
        <v>12.870000000000001</v>
      </c>
      <c r="R67" s="688">
        <f>0.5*$R$65</f>
        <v>12.870000000000001</v>
      </c>
      <c r="S67" s="688"/>
      <c r="T67" s="688"/>
      <c r="U67" s="688"/>
    </row>
    <row r="68" spans="1:21" s="240" customFormat="1" ht="15.75">
      <c r="A68" s="365"/>
      <c r="B68" s="616"/>
      <c r="C68" s="320"/>
      <c r="D68" s="238"/>
      <c r="E68" s="239"/>
      <c r="F68" s="664">
        <f t="shared" ref="F68:U68" si="34">F65-SUM(F66:F67)</f>
        <v>0</v>
      </c>
      <c r="G68" s="664">
        <f t="shared" si="34"/>
        <v>0</v>
      </c>
      <c r="H68" s="664">
        <f t="shared" si="34"/>
        <v>0</v>
      </c>
      <c r="I68" s="664">
        <f t="shared" si="34"/>
        <v>0</v>
      </c>
      <c r="J68" s="664">
        <f t="shared" si="34"/>
        <v>0</v>
      </c>
      <c r="K68" s="664">
        <f t="shared" si="34"/>
        <v>0</v>
      </c>
      <c r="L68" s="664">
        <f t="shared" si="34"/>
        <v>0</v>
      </c>
      <c r="M68" s="664">
        <f t="shared" si="34"/>
        <v>0</v>
      </c>
      <c r="N68" s="664">
        <f t="shared" si="34"/>
        <v>0</v>
      </c>
      <c r="O68" s="664">
        <f t="shared" si="34"/>
        <v>0</v>
      </c>
      <c r="P68" s="664"/>
      <c r="Q68" s="664">
        <f t="shared" si="34"/>
        <v>0</v>
      </c>
      <c r="R68" s="664">
        <f t="shared" si="34"/>
        <v>0</v>
      </c>
      <c r="S68" s="664">
        <f t="shared" si="34"/>
        <v>0</v>
      </c>
      <c r="T68" s="664">
        <f t="shared" si="34"/>
        <v>0</v>
      </c>
      <c r="U68" s="664">
        <f t="shared" si="34"/>
        <v>0</v>
      </c>
    </row>
    <row r="69" spans="1:21" s="59" customFormat="1" ht="15.75">
      <c r="A69" s="769"/>
      <c r="B69" s="656"/>
      <c r="C69" s="404"/>
      <c r="D69" s="641"/>
      <c r="E69" s="405"/>
      <c r="F69" s="690"/>
      <c r="G69" s="679"/>
      <c r="H69" s="679"/>
      <c r="I69" s="679"/>
      <c r="J69" s="679"/>
      <c r="K69" s="679"/>
      <c r="L69" s="679"/>
      <c r="M69" s="679"/>
      <c r="N69" s="679"/>
      <c r="O69" s="679"/>
      <c r="P69" s="679"/>
      <c r="Q69" s="679"/>
      <c r="R69" s="679"/>
      <c r="S69" s="442"/>
      <c r="T69" s="442"/>
      <c r="U69" s="454"/>
    </row>
    <row r="70" spans="1:21" s="235" customFormat="1" ht="15.75">
      <c r="A70" s="361" t="s">
        <v>121</v>
      </c>
      <c r="B70" s="659" t="s">
        <v>122</v>
      </c>
      <c r="C70" s="376"/>
      <c r="D70" s="233"/>
      <c r="E70" s="234"/>
      <c r="F70" s="666"/>
      <c r="G70" s="666"/>
      <c r="H70" s="666">
        <f>0.01*H$32</f>
        <v>4.29</v>
      </c>
      <c r="I70" s="666">
        <f>0.01*I$32</f>
        <v>8.58</v>
      </c>
      <c r="J70" s="666">
        <f>0.01*J$32</f>
        <v>4.29</v>
      </c>
      <c r="K70" s="666">
        <f>0.01*K$32</f>
        <v>4.29</v>
      </c>
      <c r="L70" s="666"/>
      <c r="M70" s="666"/>
      <c r="N70" s="666"/>
      <c r="O70" s="666"/>
      <c r="P70" s="666"/>
      <c r="Q70" s="666">
        <f>0.01*Q$32</f>
        <v>12.870000000000001</v>
      </c>
      <c r="R70" s="666">
        <f>0.01*R$32</f>
        <v>12.870000000000001</v>
      </c>
      <c r="S70" s="666">
        <f>TRUNC(0.02*S$32)</f>
        <v>0</v>
      </c>
      <c r="T70" s="666">
        <f>TRUNC(0.02*T$32)</f>
        <v>0</v>
      </c>
      <c r="U70" s="666">
        <f>TRUNC(0.02*U$32)</f>
        <v>0</v>
      </c>
    </row>
    <row r="71" spans="1:21" s="369" customFormat="1" ht="15.75">
      <c r="A71" s="657" t="s">
        <v>123</v>
      </c>
      <c r="B71" s="658" t="s">
        <v>99</v>
      </c>
      <c r="C71" s="428"/>
      <c r="D71" s="430" t="s">
        <v>890</v>
      </c>
      <c r="E71" s="431"/>
      <c r="F71" s="683"/>
      <c r="G71" s="684"/>
      <c r="H71" s="684">
        <f>0.5*$H$70</f>
        <v>2.145</v>
      </c>
      <c r="I71" s="684">
        <f>0.5*$I$70</f>
        <v>4.29</v>
      </c>
      <c r="J71" s="684">
        <f>0.5*$J$70</f>
        <v>2.145</v>
      </c>
      <c r="K71" s="684">
        <f>0.5*$K$70</f>
        <v>2.145</v>
      </c>
      <c r="L71" s="684"/>
      <c r="M71" s="684"/>
      <c r="N71" s="684"/>
      <c r="O71" s="684"/>
      <c r="P71" s="684"/>
      <c r="Q71" s="688">
        <f>0.5*$Q$70</f>
        <v>6.4350000000000005</v>
      </c>
      <c r="R71" s="688">
        <f>0.5*$R$70</f>
        <v>6.4350000000000005</v>
      </c>
      <c r="S71" s="684"/>
      <c r="T71" s="684"/>
      <c r="U71" s="684"/>
    </row>
    <row r="72" spans="1:21" s="59" customFormat="1" ht="15.75">
      <c r="A72" s="657" t="s">
        <v>124</v>
      </c>
      <c r="B72" s="656" t="s">
        <v>105</v>
      </c>
      <c r="C72" s="404"/>
      <c r="D72" s="641" t="s">
        <v>890</v>
      </c>
      <c r="E72" s="405"/>
      <c r="F72" s="451"/>
      <c r="G72" s="686"/>
      <c r="H72" s="684">
        <f>0.5*$H$70</f>
        <v>2.145</v>
      </c>
      <c r="I72" s="684">
        <f>0.5*$I$70</f>
        <v>4.29</v>
      </c>
      <c r="J72" s="684">
        <f>0.5*$J$70</f>
        <v>2.145</v>
      </c>
      <c r="K72" s="684">
        <f>0.5*$K$70</f>
        <v>2.145</v>
      </c>
      <c r="L72" s="684"/>
      <c r="M72" s="684"/>
      <c r="N72" s="684"/>
      <c r="O72" s="684"/>
      <c r="P72" s="684"/>
      <c r="Q72" s="688">
        <f>0.5*$Q$70</f>
        <v>6.4350000000000005</v>
      </c>
      <c r="R72" s="688">
        <f>0.5*$R$70</f>
        <v>6.4350000000000005</v>
      </c>
      <c r="S72" s="684"/>
      <c r="T72" s="684"/>
      <c r="U72" s="684"/>
    </row>
    <row r="73" spans="1:21" s="240" customFormat="1" ht="15.75">
      <c r="A73" s="365"/>
      <c r="B73" s="616"/>
      <c r="C73" s="320"/>
      <c r="D73" s="238"/>
      <c r="E73" s="239"/>
      <c r="F73" s="664">
        <f t="shared" ref="F73:U73" si="35">F70-SUM(F71:F72)</f>
        <v>0</v>
      </c>
      <c r="G73" s="664">
        <f t="shared" si="35"/>
        <v>0</v>
      </c>
      <c r="H73" s="664">
        <f t="shared" si="35"/>
        <v>0</v>
      </c>
      <c r="I73" s="664">
        <f t="shared" si="35"/>
        <v>0</v>
      </c>
      <c r="J73" s="664">
        <f t="shared" si="35"/>
        <v>0</v>
      </c>
      <c r="K73" s="664">
        <f t="shared" si="35"/>
        <v>0</v>
      </c>
      <c r="L73" s="664">
        <f t="shared" si="35"/>
        <v>0</v>
      </c>
      <c r="M73" s="664">
        <f t="shared" si="35"/>
        <v>0</v>
      </c>
      <c r="N73" s="664">
        <f t="shared" si="35"/>
        <v>0</v>
      </c>
      <c r="O73" s="664">
        <f t="shared" si="35"/>
        <v>0</v>
      </c>
      <c r="P73" s="664"/>
      <c r="Q73" s="664">
        <f t="shared" si="35"/>
        <v>0</v>
      </c>
      <c r="R73" s="664">
        <f t="shared" si="35"/>
        <v>0</v>
      </c>
      <c r="S73" s="664">
        <f t="shared" si="35"/>
        <v>0</v>
      </c>
      <c r="T73" s="664">
        <f t="shared" si="35"/>
        <v>0</v>
      </c>
      <c r="U73" s="664">
        <f t="shared" si="35"/>
        <v>0</v>
      </c>
    </row>
    <row r="74" spans="1:21" s="59" customFormat="1" ht="15.75">
      <c r="A74" s="769"/>
      <c r="B74" s="656"/>
      <c r="C74" s="404"/>
      <c r="D74" s="641"/>
      <c r="E74" s="405"/>
      <c r="F74" s="690"/>
      <c r="G74" s="679"/>
      <c r="H74" s="679"/>
      <c r="I74" s="679"/>
      <c r="J74" s="679"/>
      <c r="K74" s="679"/>
      <c r="L74" s="679"/>
      <c r="M74" s="679"/>
      <c r="N74" s="679"/>
      <c r="O74" s="679"/>
      <c r="P74" s="679"/>
      <c r="Q74" s="679"/>
      <c r="R74" s="679"/>
      <c r="S74" s="442"/>
      <c r="T74" s="442"/>
      <c r="U74" s="454"/>
    </row>
    <row r="75" spans="1:21" s="260" customFormat="1" ht="15.75">
      <c r="A75" s="362" t="s">
        <v>125</v>
      </c>
      <c r="B75" s="614" t="s">
        <v>126</v>
      </c>
      <c r="C75" s="257"/>
      <c r="D75" s="258"/>
      <c r="E75" s="259"/>
      <c r="F75" s="666"/>
      <c r="G75" s="666"/>
      <c r="H75" s="666">
        <f>0.01*H$32</f>
        <v>4.29</v>
      </c>
      <c r="I75" s="666">
        <f>0.05*I$32</f>
        <v>42.900000000000006</v>
      </c>
      <c r="J75" s="666">
        <f>0.05*J$32</f>
        <v>21.450000000000003</v>
      </c>
      <c r="K75" s="666">
        <f>0.01*K$32</f>
        <v>4.29</v>
      </c>
      <c r="L75" s="666"/>
      <c r="M75" s="666"/>
      <c r="N75" s="666"/>
      <c r="O75" s="666"/>
      <c r="P75" s="666">
        <f>0.2*P$32</f>
        <v>22.880000000000003</v>
      </c>
      <c r="Q75" s="666">
        <f>0.01*Q$32</f>
        <v>12.870000000000001</v>
      </c>
      <c r="R75" s="666">
        <f>0.01*R$32</f>
        <v>12.870000000000001</v>
      </c>
      <c r="S75" s="666">
        <f>TRUNC(0.02*S$32)</f>
        <v>0</v>
      </c>
      <c r="T75" s="666">
        <f>TRUNC(0.02*T$32)</f>
        <v>0</v>
      </c>
      <c r="U75" s="666">
        <f>TRUNC(0.02*U$32)</f>
        <v>0</v>
      </c>
    </row>
    <row r="76" spans="1:21" s="369" customFormat="1" ht="15.75">
      <c r="A76" s="433" t="s">
        <v>127</v>
      </c>
      <c r="B76" s="658" t="s">
        <v>99</v>
      </c>
      <c r="C76" s="434"/>
      <c r="D76" s="430" t="s">
        <v>890</v>
      </c>
      <c r="E76" s="435"/>
      <c r="F76" s="683"/>
      <c r="G76" s="684"/>
      <c r="H76" s="684">
        <f>0.5*$H$75</f>
        <v>2.145</v>
      </c>
      <c r="I76" s="684">
        <f>0.5*$I$75</f>
        <v>21.450000000000003</v>
      </c>
      <c r="J76" s="684">
        <f>0.5*$J$75</f>
        <v>10.725000000000001</v>
      </c>
      <c r="K76" s="684"/>
      <c r="L76" s="684"/>
      <c r="M76" s="684"/>
      <c r="N76" s="684"/>
      <c r="O76" s="684"/>
      <c r="P76" s="684">
        <f>0.5*$P$75</f>
        <v>11.440000000000001</v>
      </c>
      <c r="Q76" s="684">
        <f>0.5*$Q$75</f>
        <v>6.4350000000000005</v>
      </c>
      <c r="R76" s="684">
        <f>0.5*$R$75</f>
        <v>6.4350000000000005</v>
      </c>
      <c r="S76" s="684"/>
      <c r="T76" s="684"/>
      <c r="U76" s="684"/>
    </row>
    <row r="77" spans="1:21" s="369" customFormat="1" ht="15.75">
      <c r="A77" s="433" t="s">
        <v>128</v>
      </c>
      <c r="B77" s="658" t="s">
        <v>105</v>
      </c>
      <c r="C77" s="429"/>
      <c r="D77" s="430" t="s">
        <v>890</v>
      </c>
      <c r="E77" s="431"/>
      <c r="F77" s="451"/>
      <c r="G77" s="686"/>
      <c r="H77" s="684">
        <f>0.5*$H$75</f>
        <v>2.145</v>
      </c>
      <c r="I77" s="684">
        <f>0.5*$I$75</f>
        <v>21.450000000000003</v>
      </c>
      <c r="J77" s="684">
        <f>0.5*$J$75</f>
        <v>10.725000000000001</v>
      </c>
      <c r="K77" s="684">
        <f>1*K75</f>
        <v>4.29</v>
      </c>
      <c r="L77" s="684"/>
      <c r="M77" s="684"/>
      <c r="N77" s="684"/>
      <c r="O77" s="684"/>
      <c r="P77" s="684">
        <f>0.5*$P$75</f>
        <v>11.440000000000001</v>
      </c>
      <c r="Q77" s="684">
        <f>0.5*$Q$75</f>
        <v>6.4350000000000005</v>
      </c>
      <c r="R77" s="684">
        <f>0.5*$R$75</f>
        <v>6.4350000000000005</v>
      </c>
      <c r="S77" s="684"/>
      <c r="T77" s="684"/>
      <c r="U77" s="684"/>
    </row>
    <row r="78" spans="1:21" s="240" customFormat="1" ht="15.75">
      <c r="A78" s="365"/>
      <c r="B78" s="616"/>
      <c r="C78" s="320"/>
      <c r="D78" s="238"/>
      <c r="E78" s="239"/>
      <c r="F78" s="664">
        <f t="shared" ref="F78:U78" si="36">F75-SUM(F76:F77)</f>
        <v>0</v>
      </c>
      <c r="G78" s="664">
        <f t="shared" si="36"/>
        <v>0</v>
      </c>
      <c r="H78" s="664">
        <f t="shared" si="36"/>
        <v>0</v>
      </c>
      <c r="I78" s="664">
        <f t="shared" si="36"/>
        <v>0</v>
      </c>
      <c r="J78" s="664">
        <f t="shared" si="36"/>
        <v>0</v>
      </c>
      <c r="K78" s="664">
        <f t="shared" si="36"/>
        <v>0</v>
      </c>
      <c r="L78" s="664">
        <f t="shared" si="36"/>
        <v>0</v>
      </c>
      <c r="M78" s="664">
        <f t="shared" si="36"/>
        <v>0</v>
      </c>
      <c r="N78" s="664">
        <f t="shared" si="36"/>
        <v>0</v>
      </c>
      <c r="O78" s="664">
        <f t="shared" si="36"/>
        <v>0</v>
      </c>
      <c r="P78" s="664">
        <f t="shared" si="36"/>
        <v>0</v>
      </c>
      <c r="Q78" s="664">
        <f t="shared" si="36"/>
        <v>0</v>
      </c>
      <c r="R78" s="664">
        <f t="shared" si="36"/>
        <v>0</v>
      </c>
      <c r="S78" s="664">
        <f t="shared" si="36"/>
        <v>0</v>
      </c>
      <c r="T78" s="664">
        <f t="shared" si="36"/>
        <v>0</v>
      </c>
      <c r="U78" s="664">
        <f t="shared" si="36"/>
        <v>0</v>
      </c>
    </row>
    <row r="79" spans="1:21" s="59" customFormat="1" ht="15.75">
      <c r="A79" s="769"/>
      <c r="B79" s="656"/>
      <c r="C79" s="404"/>
      <c r="D79" s="641"/>
      <c r="E79" s="405"/>
      <c r="F79" s="690"/>
      <c r="G79" s="679"/>
      <c r="H79" s="679"/>
      <c r="I79" s="679"/>
      <c r="J79" s="679"/>
      <c r="K79" s="679"/>
      <c r="L79" s="679"/>
      <c r="M79" s="679"/>
      <c r="N79" s="679"/>
      <c r="O79" s="679"/>
      <c r="P79" s="679"/>
      <c r="Q79" s="679"/>
      <c r="R79" s="679"/>
      <c r="S79" s="442"/>
      <c r="T79" s="442"/>
      <c r="U79" s="454"/>
    </row>
    <row r="80" spans="1:21" s="235" customFormat="1" ht="54" customHeight="1">
      <c r="A80" s="361" t="s">
        <v>129</v>
      </c>
      <c r="B80" s="659" t="s">
        <v>130</v>
      </c>
      <c r="C80" s="376"/>
      <c r="D80" s="233"/>
      <c r="E80" s="234"/>
      <c r="F80" s="666">
        <f>0.25*F$32</f>
        <v>243.1</v>
      </c>
      <c r="G80" s="666">
        <f>0.2*G$32</f>
        <v>85.800000000000011</v>
      </c>
      <c r="H80" s="666">
        <f>0.01*H$32</f>
        <v>4.29</v>
      </c>
      <c r="I80" s="666">
        <f>0.1*I$32</f>
        <v>85.800000000000011</v>
      </c>
      <c r="J80" s="666"/>
      <c r="K80" s="666">
        <f>0.01*K$32</f>
        <v>4.29</v>
      </c>
      <c r="L80" s="666"/>
      <c r="M80" s="666"/>
      <c r="N80" s="666"/>
      <c r="O80" s="666"/>
      <c r="P80" s="666"/>
      <c r="Q80" s="666">
        <f>0.1*Q$32</f>
        <v>128.70000000000002</v>
      </c>
      <c r="R80" s="666">
        <f>0.1*R$32</f>
        <v>128.70000000000002</v>
      </c>
      <c r="S80" s="666">
        <f>TRUNC(0.02*S$32)</f>
        <v>0</v>
      </c>
      <c r="T80" s="666">
        <f>TRUNC(0.02*T$32)</f>
        <v>0</v>
      </c>
      <c r="U80" s="666">
        <f>TRUNC(0.02*U$32)</f>
        <v>0</v>
      </c>
    </row>
    <row r="81" spans="1:21" s="235" customFormat="1" ht="15.75">
      <c r="A81" s="361"/>
      <c r="B81" s="659" t="s">
        <v>131</v>
      </c>
      <c r="C81" s="376"/>
      <c r="D81" s="233"/>
      <c r="E81" s="234"/>
      <c r="F81" s="251"/>
      <c r="G81" s="643"/>
      <c r="H81" s="643"/>
      <c r="I81" s="643"/>
      <c r="J81" s="643"/>
      <c r="K81" s="643"/>
      <c r="L81" s="643"/>
      <c r="M81" s="643"/>
      <c r="N81" s="643"/>
      <c r="O81" s="643"/>
      <c r="P81" s="643"/>
      <c r="Q81" s="643"/>
      <c r="R81" s="643"/>
      <c r="S81" s="252"/>
      <c r="T81" s="252"/>
      <c r="U81" s="253"/>
    </row>
    <row r="82" spans="1:21" s="59" customFormat="1" ht="15.75">
      <c r="A82" s="769" t="s">
        <v>132</v>
      </c>
      <c r="B82" s="656" t="s">
        <v>133</v>
      </c>
      <c r="C82" s="404"/>
      <c r="D82" s="641" t="s">
        <v>890</v>
      </c>
      <c r="E82" s="405"/>
      <c r="F82" s="692">
        <f>0.1*$F$80</f>
        <v>24.310000000000002</v>
      </c>
      <c r="G82" s="692">
        <f>0.1*$G$80</f>
        <v>8.5800000000000018</v>
      </c>
      <c r="H82" s="688"/>
      <c r="I82" s="688"/>
      <c r="J82" s="688"/>
      <c r="K82" s="688"/>
      <c r="L82" s="688"/>
      <c r="M82" s="688"/>
      <c r="N82" s="688"/>
      <c r="O82" s="688"/>
      <c r="P82" s="688"/>
      <c r="Q82" s="688"/>
      <c r="R82" s="688"/>
      <c r="S82" s="689"/>
      <c r="T82" s="689"/>
      <c r="U82" s="457"/>
    </row>
    <row r="83" spans="1:21" s="59" customFormat="1" ht="15.75">
      <c r="A83" s="769" t="s">
        <v>134</v>
      </c>
      <c r="B83" s="658" t="s">
        <v>135</v>
      </c>
      <c r="C83" s="404"/>
      <c r="D83" s="641" t="s">
        <v>890</v>
      </c>
      <c r="E83" s="405"/>
      <c r="F83" s="692">
        <f t="shared" ref="F83:F90" si="37">0.1*$F$80</f>
        <v>24.310000000000002</v>
      </c>
      <c r="G83" s="692">
        <f t="shared" ref="G83:G90" si="38">0.1*$G$80</f>
        <v>8.5800000000000018</v>
      </c>
      <c r="H83" s="688">
        <f>0.5*H80</f>
        <v>2.145</v>
      </c>
      <c r="I83" s="688"/>
      <c r="J83" s="688"/>
      <c r="K83" s="688"/>
      <c r="L83" s="688"/>
      <c r="M83" s="688"/>
      <c r="N83" s="688"/>
      <c r="O83" s="688"/>
      <c r="P83" s="688"/>
      <c r="Q83" s="688"/>
      <c r="R83" s="688"/>
      <c r="S83" s="689"/>
      <c r="T83" s="689"/>
      <c r="U83" s="457"/>
    </row>
    <row r="84" spans="1:21" s="59" customFormat="1" ht="15.75">
      <c r="A84" s="769" t="s">
        <v>136</v>
      </c>
      <c r="B84" s="658" t="s">
        <v>137</v>
      </c>
      <c r="C84" s="404"/>
      <c r="D84" s="641" t="s">
        <v>890</v>
      </c>
      <c r="E84" s="405"/>
      <c r="F84" s="692">
        <f t="shared" si="37"/>
        <v>24.310000000000002</v>
      </c>
      <c r="G84" s="692">
        <f t="shared" si="38"/>
        <v>8.5800000000000018</v>
      </c>
      <c r="H84" s="688">
        <f>0.5*H80</f>
        <v>2.145</v>
      </c>
      <c r="I84" s="688"/>
      <c r="J84" s="688"/>
      <c r="K84" s="688"/>
      <c r="L84" s="688"/>
      <c r="M84" s="688"/>
      <c r="N84" s="688"/>
      <c r="O84" s="688"/>
      <c r="P84" s="688"/>
      <c r="Q84" s="688"/>
      <c r="R84" s="688"/>
      <c r="S84" s="689"/>
      <c r="T84" s="689"/>
      <c r="U84" s="457"/>
    </row>
    <row r="85" spans="1:21" s="59" customFormat="1" ht="15.75">
      <c r="A85" s="769" t="s">
        <v>138</v>
      </c>
      <c r="B85" s="656" t="s">
        <v>139</v>
      </c>
      <c r="C85" s="404"/>
      <c r="D85" s="641" t="s">
        <v>890</v>
      </c>
      <c r="E85" s="405"/>
      <c r="F85" s="692">
        <f t="shared" si="37"/>
        <v>24.310000000000002</v>
      </c>
      <c r="G85" s="692">
        <f t="shared" si="38"/>
        <v>8.5800000000000018</v>
      </c>
      <c r="H85" s="688"/>
      <c r="I85" s="688">
        <f>0.2*$I$80</f>
        <v>17.160000000000004</v>
      </c>
      <c r="J85" s="688"/>
      <c r="K85" s="688"/>
      <c r="L85" s="688"/>
      <c r="M85" s="688"/>
      <c r="N85" s="688"/>
      <c r="O85" s="688"/>
      <c r="P85" s="688"/>
      <c r="Q85" s="688"/>
      <c r="R85" s="688"/>
      <c r="S85" s="689"/>
      <c r="T85" s="689"/>
      <c r="U85" s="457"/>
    </row>
    <row r="86" spans="1:21" s="59" customFormat="1" ht="15.75">
      <c r="A86" s="769" t="s">
        <v>140</v>
      </c>
      <c r="B86" s="656" t="s">
        <v>105</v>
      </c>
      <c r="C86" s="404"/>
      <c r="D86" s="641" t="s">
        <v>890</v>
      </c>
      <c r="E86" s="405"/>
      <c r="F86" s="692">
        <f t="shared" si="37"/>
        <v>24.310000000000002</v>
      </c>
      <c r="G86" s="692">
        <f t="shared" si="38"/>
        <v>8.5800000000000018</v>
      </c>
      <c r="H86" s="688"/>
      <c r="I86" s="688">
        <f>0.2*$I$80</f>
        <v>17.160000000000004</v>
      </c>
      <c r="J86" s="688"/>
      <c r="K86" s="688">
        <f>0.5*K80</f>
        <v>2.145</v>
      </c>
      <c r="L86" s="688"/>
      <c r="M86" s="688"/>
      <c r="N86" s="688"/>
      <c r="O86" s="688"/>
      <c r="P86" s="688"/>
      <c r="Q86" s="688">
        <f>0.25*$Q$80</f>
        <v>32.175000000000004</v>
      </c>
      <c r="R86" s="688">
        <f>0.25*$R$80</f>
        <v>32.175000000000004</v>
      </c>
      <c r="S86" s="689"/>
      <c r="T86" s="689"/>
      <c r="U86" s="457"/>
    </row>
    <row r="87" spans="1:21" s="59" customFormat="1" ht="15.75">
      <c r="A87" s="769" t="s">
        <v>141</v>
      </c>
      <c r="B87" s="656" t="s">
        <v>142</v>
      </c>
      <c r="C87" s="404"/>
      <c r="D87" s="641" t="s">
        <v>890</v>
      </c>
      <c r="E87" s="405"/>
      <c r="F87" s="692">
        <f t="shared" si="37"/>
        <v>24.310000000000002</v>
      </c>
      <c r="G87" s="692">
        <f t="shared" si="38"/>
        <v>8.5800000000000018</v>
      </c>
      <c r="H87" s="688"/>
      <c r="I87" s="688">
        <f>0.2*$I$80</f>
        <v>17.160000000000004</v>
      </c>
      <c r="J87" s="688"/>
      <c r="K87" s="688">
        <f>0.5*K80</f>
        <v>2.145</v>
      </c>
      <c r="L87" s="688"/>
      <c r="M87" s="688"/>
      <c r="N87" s="688"/>
      <c r="O87" s="688"/>
      <c r="P87" s="688"/>
      <c r="Q87" s="688">
        <f>0.25*$Q$80</f>
        <v>32.175000000000004</v>
      </c>
      <c r="R87" s="688">
        <f>0.25*$R$80</f>
        <v>32.175000000000004</v>
      </c>
      <c r="S87" s="689"/>
      <c r="T87" s="689"/>
      <c r="U87" s="457"/>
    </row>
    <row r="88" spans="1:21" s="318" customFormat="1" ht="15.75">
      <c r="A88" s="769" t="s">
        <v>143</v>
      </c>
      <c r="B88" s="656" t="s">
        <v>144</v>
      </c>
      <c r="C88" s="404"/>
      <c r="D88" s="641" t="s">
        <v>890</v>
      </c>
      <c r="E88" s="405"/>
      <c r="F88" s="692">
        <f t="shared" si="37"/>
        <v>24.310000000000002</v>
      </c>
      <c r="G88" s="692">
        <f t="shared" si="38"/>
        <v>8.5800000000000018</v>
      </c>
      <c r="H88" s="688"/>
      <c r="I88" s="688">
        <f>0.2*$I$80</f>
        <v>17.160000000000004</v>
      </c>
      <c r="J88" s="688"/>
      <c r="K88" s="688"/>
      <c r="L88" s="688"/>
      <c r="M88" s="688"/>
      <c r="N88" s="688"/>
      <c r="O88" s="688"/>
      <c r="P88" s="688"/>
      <c r="Q88" s="688"/>
      <c r="R88" s="688"/>
      <c r="S88" s="689"/>
      <c r="T88" s="689"/>
      <c r="U88" s="457"/>
    </row>
    <row r="89" spans="1:21" s="318" customFormat="1" ht="15.75">
      <c r="A89" s="769" t="s">
        <v>145</v>
      </c>
      <c r="B89" s="656" t="s">
        <v>146</v>
      </c>
      <c r="C89" s="404"/>
      <c r="D89" s="641" t="s">
        <v>890</v>
      </c>
      <c r="E89" s="405"/>
      <c r="F89" s="692">
        <f t="shared" si="37"/>
        <v>24.310000000000002</v>
      </c>
      <c r="G89" s="692">
        <f t="shared" si="38"/>
        <v>8.5800000000000018</v>
      </c>
      <c r="H89" s="688"/>
      <c r="I89" s="688"/>
      <c r="J89" s="688"/>
      <c r="K89" s="688"/>
      <c r="L89" s="688"/>
      <c r="M89" s="688"/>
      <c r="N89" s="688"/>
      <c r="O89" s="688"/>
      <c r="P89" s="688"/>
      <c r="Q89" s="688"/>
      <c r="R89" s="688"/>
      <c r="S89" s="689"/>
      <c r="T89" s="689"/>
      <c r="U89" s="457"/>
    </row>
    <row r="90" spans="1:21" s="59" customFormat="1" ht="15.75">
      <c r="A90" s="769" t="s">
        <v>147</v>
      </c>
      <c r="B90" s="656" t="s">
        <v>148</v>
      </c>
      <c r="C90" s="404"/>
      <c r="D90" s="641" t="s">
        <v>890</v>
      </c>
      <c r="E90" s="405"/>
      <c r="F90" s="692">
        <f t="shared" si="37"/>
        <v>24.310000000000002</v>
      </c>
      <c r="G90" s="692">
        <f t="shared" si="38"/>
        <v>8.5800000000000018</v>
      </c>
      <c r="H90" s="688"/>
      <c r="I90" s="688">
        <f>0.1*$I$80</f>
        <v>8.5800000000000018</v>
      </c>
      <c r="J90" s="688"/>
      <c r="K90" s="688"/>
      <c r="L90" s="688"/>
      <c r="M90" s="688"/>
      <c r="N90" s="688"/>
      <c r="O90" s="688"/>
      <c r="P90" s="688"/>
      <c r="Q90" s="688">
        <f>0.25*$Q$80</f>
        <v>32.175000000000004</v>
      </c>
      <c r="R90" s="688">
        <f>0.25*$R$80</f>
        <v>32.175000000000004</v>
      </c>
      <c r="S90" s="689"/>
      <c r="T90" s="689"/>
      <c r="U90" s="457"/>
    </row>
    <row r="91" spans="1:21" s="59" customFormat="1" ht="15.75">
      <c r="A91" s="769" t="s">
        <v>149</v>
      </c>
      <c r="B91" s="656" t="s">
        <v>150</v>
      </c>
      <c r="C91" s="404"/>
      <c r="D91" s="641" t="s">
        <v>890</v>
      </c>
      <c r="E91" s="405"/>
      <c r="F91" s="692">
        <f>0.05*$F$80</f>
        <v>12.155000000000001</v>
      </c>
      <c r="G91" s="692">
        <f>0.05*$G$80</f>
        <v>4.2900000000000009</v>
      </c>
      <c r="H91" s="688"/>
      <c r="I91" s="688">
        <f>0.1*$I$80</f>
        <v>8.5800000000000018</v>
      </c>
      <c r="J91" s="688"/>
      <c r="K91" s="688"/>
      <c r="L91" s="688"/>
      <c r="M91" s="688"/>
      <c r="N91" s="688"/>
      <c r="O91" s="688"/>
      <c r="P91" s="688"/>
      <c r="Q91" s="688">
        <f>0.25*$Q$80</f>
        <v>32.175000000000004</v>
      </c>
      <c r="R91" s="688">
        <f>0.25*$R$80</f>
        <v>32.175000000000004</v>
      </c>
      <c r="S91" s="689"/>
      <c r="T91" s="689"/>
      <c r="U91" s="457"/>
    </row>
    <row r="92" spans="1:21" s="59" customFormat="1" ht="15.75">
      <c r="A92" s="769" t="s">
        <v>151</v>
      </c>
      <c r="B92" s="656" t="s">
        <v>152</v>
      </c>
      <c r="C92" s="404"/>
      <c r="D92" s="641" t="s">
        <v>890</v>
      </c>
      <c r="E92" s="405"/>
      <c r="F92" s="692">
        <f>0.05*$F$80</f>
        <v>12.155000000000001</v>
      </c>
      <c r="G92" s="692">
        <f>0.05*$G$80</f>
        <v>4.2900000000000009</v>
      </c>
      <c r="H92" s="688"/>
      <c r="I92" s="688"/>
      <c r="J92" s="688"/>
      <c r="K92" s="688"/>
      <c r="L92" s="688"/>
      <c r="M92" s="688"/>
      <c r="N92" s="688"/>
      <c r="O92" s="688"/>
      <c r="P92" s="688"/>
      <c r="Q92" s="688"/>
      <c r="R92" s="688"/>
      <c r="S92" s="689"/>
      <c r="T92" s="689"/>
      <c r="U92" s="457"/>
    </row>
    <row r="93" spans="1:21" s="240" customFormat="1" ht="15.75">
      <c r="A93" s="365"/>
      <c r="B93" s="616"/>
      <c r="C93" s="320"/>
      <c r="D93" s="238"/>
      <c r="E93" s="239"/>
      <c r="F93" s="664">
        <f t="shared" ref="F93:K93" si="39">F80-SUM(F82:F92)</f>
        <v>0</v>
      </c>
      <c r="G93" s="664">
        <f t="shared" si="39"/>
        <v>0</v>
      </c>
      <c r="H93" s="664">
        <f t="shared" si="39"/>
        <v>0</v>
      </c>
      <c r="I93" s="664">
        <f t="shared" si="39"/>
        <v>0</v>
      </c>
      <c r="J93" s="664">
        <f t="shared" si="39"/>
        <v>0</v>
      </c>
      <c r="K93" s="664">
        <f t="shared" si="39"/>
        <v>0</v>
      </c>
      <c r="L93" s="664">
        <f t="shared" ref="L93:R93" si="40">L80-SUM(L82:L92)</f>
        <v>0</v>
      </c>
      <c r="M93" s="664">
        <f t="shared" si="40"/>
        <v>0</v>
      </c>
      <c r="N93" s="664">
        <f t="shared" si="40"/>
        <v>0</v>
      </c>
      <c r="O93" s="664">
        <f t="shared" si="40"/>
        <v>0</v>
      </c>
      <c r="P93" s="664">
        <f t="shared" si="40"/>
        <v>0</v>
      </c>
      <c r="Q93" s="664">
        <f t="shared" si="40"/>
        <v>0</v>
      </c>
      <c r="R93" s="664">
        <f t="shared" si="40"/>
        <v>0</v>
      </c>
      <c r="S93" s="664">
        <f>S81-SUM(S82:S92)</f>
        <v>0</v>
      </c>
      <c r="T93" s="664">
        <f>T81-SUM(T82:T92)</f>
        <v>0</v>
      </c>
      <c r="U93" s="664">
        <f>U81-SUM(U82:U92)</f>
        <v>0</v>
      </c>
    </row>
    <row r="94" spans="1:21" s="59" customFormat="1" ht="15.75">
      <c r="A94" s="769"/>
      <c r="B94" s="656"/>
      <c r="C94" s="404"/>
      <c r="D94" s="641"/>
      <c r="E94" s="405"/>
      <c r="F94" s="690"/>
      <c r="G94" s="679"/>
      <c r="H94" s="679"/>
      <c r="I94" s="679"/>
      <c r="J94" s="679"/>
      <c r="K94" s="679"/>
      <c r="L94" s="679"/>
      <c r="M94" s="679"/>
      <c r="N94" s="679"/>
      <c r="O94" s="679"/>
      <c r="P94" s="679"/>
      <c r="Q94" s="679"/>
      <c r="R94" s="679"/>
      <c r="S94" s="442"/>
      <c r="T94" s="442"/>
      <c r="U94" s="454"/>
    </row>
    <row r="95" spans="1:21" s="235" customFormat="1" ht="31.5">
      <c r="A95" s="361" t="s">
        <v>153</v>
      </c>
      <c r="B95" s="660" t="s">
        <v>899</v>
      </c>
      <c r="C95" s="376"/>
      <c r="D95" s="233"/>
      <c r="E95" s="234"/>
      <c r="F95" s="666">
        <f>0.2*F$32</f>
        <v>194.48000000000002</v>
      </c>
      <c r="G95" s="666">
        <f>0.2*G$32</f>
        <v>85.800000000000011</v>
      </c>
      <c r="H95" s="666">
        <f>0.01*H$32</f>
        <v>4.29</v>
      </c>
      <c r="I95" s="666"/>
      <c r="J95" s="666"/>
      <c r="K95" s="666">
        <f>0.01*K$32</f>
        <v>4.29</v>
      </c>
      <c r="L95" s="666"/>
      <c r="M95" s="666"/>
      <c r="N95" s="666"/>
      <c r="O95" s="666"/>
      <c r="P95" s="666"/>
      <c r="Q95" s="666">
        <f>0.1*Q$32</f>
        <v>128.70000000000002</v>
      </c>
      <c r="R95" s="666">
        <f>0.1*R$32</f>
        <v>128.70000000000002</v>
      </c>
      <c r="S95" s="666">
        <f>TRUNC(0.02*S$32)</f>
        <v>0</v>
      </c>
      <c r="T95" s="666">
        <f>TRUNC(0.02*T$32)</f>
        <v>0</v>
      </c>
      <c r="U95" s="666">
        <f>TRUNC(0.02*U$32)</f>
        <v>0</v>
      </c>
    </row>
    <row r="96" spans="1:21" s="369" customFormat="1" ht="15.75">
      <c r="A96" s="657" t="s">
        <v>155</v>
      </c>
      <c r="B96" s="658" t="s">
        <v>99</v>
      </c>
      <c r="C96" s="429"/>
      <c r="D96" s="430" t="s">
        <v>890</v>
      </c>
      <c r="E96" s="431"/>
      <c r="F96" s="671">
        <f>0.33*$F$95</f>
        <v>64.178400000000011</v>
      </c>
      <c r="G96" s="671">
        <f>0.33*$G$95</f>
        <v>28.314000000000004</v>
      </c>
      <c r="H96" s="671"/>
      <c r="I96" s="671"/>
      <c r="J96" s="671"/>
      <c r="K96" s="671"/>
      <c r="L96" s="671"/>
      <c r="M96" s="671"/>
      <c r="N96" s="671"/>
      <c r="O96" s="671"/>
      <c r="P96" s="671"/>
      <c r="Q96" s="671">
        <f>0.5*$Q$95</f>
        <v>64.350000000000009</v>
      </c>
      <c r="R96" s="671">
        <f>0.5*$R$95</f>
        <v>64.350000000000009</v>
      </c>
      <c r="S96" s="671"/>
      <c r="T96" s="671"/>
      <c r="U96" s="671"/>
    </row>
    <row r="97" spans="1:21" s="59" customFormat="1" ht="15.75">
      <c r="A97" s="657" t="s">
        <v>156</v>
      </c>
      <c r="B97" s="658" t="s">
        <v>137</v>
      </c>
      <c r="C97" s="404"/>
      <c r="D97" s="641" t="s">
        <v>890</v>
      </c>
      <c r="E97" s="405"/>
      <c r="F97" s="671">
        <f>0.34*$F$95</f>
        <v>66.123200000000011</v>
      </c>
      <c r="G97" s="671">
        <f>0.34*$G$95</f>
        <v>29.172000000000008</v>
      </c>
      <c r="H97" s="671">
        <f>0.5*$H$95</f>
        <v>2.145</v>
      </c>
      <c r="I97" s="671"/>
      <c r="J97" s="671"/>
      <c r="K97" s="671"/>
      <c r="L97" s="671"/>
      <c r="M97" s="671"/>
      <c r="N97" s="671"/>
      <c r="O97" s="671"/>
      <c r="P97" s="671"/>
      <c r="Q97" s="671"/>
      <c r="R97" s="671"/>
      <c r="S97" s="671"/>
      <c r="T97" s="671"/>
      <c r="U97" s="671"/>
    </row>
    <row r="98" spans="1:21" s="59" customFormat="1" ht="15.75">
      <c r="A98" s="657" t="s">
        <v>157</v>
      </c>
      <c r="B98" s="656" t="s">
        <v>105</v>
      </c>
      <c r="C98" s="404"/>
      <c r="D98" s="641" t="s">
        <v>890</v>
      </c>
      <c r="E98" s="405"/>
      <c r="F98" s="671">
        <f>0.33*$F$95</f>
        <v>64.178400000000011</v>
      </c>
      <c r="G98" s="671">
        <f>0.33*$G$95</f>
        <v>28.314000000000004</v>
      </c>
      <c r="H98" s="671">
        <f>0.5*$H$95</f>
        <v>2.145</v>
      </c>
      <c r="I98" s="671"/>
      <c r="J98" s="671"/>
      <c r="K98" s="671">
        <f>1*$K$95</f>
        <v>4.29</v>
      </c>
      <c r="L98" s="671"/>
      <c r="M98" s="671"/>
      <c r="N98" s="671"/>
      <c r="O98" s="671"/>
      <c r="P98" s="671"/>
      <c r="Q98" s="671">
        <f>0.5*$Q$95</f>
        <v>64.350000000000009</v>
      </c>
      <c r="R98" s="671">
        <f>0.5*$R$95</f>
        <v>64.350000000000009</v>
      </c>
      <c r="S98" s="671"/>
      <c r="T98" s="671"/>
      <c r="U98" s="671"/>
    </row>
    <row r="99" spans="1:21" s="240" customFormat="1" ht="15.75">
      <c r="A99" s="365"/>
      <c r="B99" s="616"/>
      <c r="C99" s="320"/>
      <c r="D99" s="238"/>
      <c r="E99" s="239"/>
      <c r="F99" s="664">
        <f t="shared" ref="F99:U99" si="41">F95-SUM(F96:F98)</f>
        <v>0</v>
      </c>
      <c r="G99" s="664">
        <f t="shared" si="41"/>
        <v>0</v>
      </c>
      <c r="H99" s="664">
        <f t="shared" si="41"/>
        <v>0</v>
      </c>
      <c r="I99" s="664">
        <f t="shared" si="41"/>
        <v>0</v>
      </c>
      <c r="J99" s="664">
        <f t="shared" si="41"/>
        <v>0</v>
      </c>
      <c r="K99" s="664">
        <f t="shared" si="41"/>
        <v>0</v>
      </c>
      <c r="L99" s="664">
        <f t="shared" si="41"/>
        <v>0</v>
      </c>
      <c r="M99" s="664">
        <f t="shared" si="41"/>
        <v>0</v>
      </c>
      <c r="N99" s="664">
        <f t="shared" si="41"/>
        <v>0</v>
      </c>
      <c r="O99" s="664">
        <f t="shared" si="41"/>
        <v>0</v>
      </c>
      <c r="P99" s="664"/>
      <c r="Q99" s="664">
        <f t="shared" si="41"/>
        <v>0</v>
      </c>
      <c r="R99" s="664">
        <f t="shared" si="41"/>
        <v>0</v>
      </c>
      <c r="S99" s="664">
        <f t="shared" si="41"/>
        <v>0</v>
      </c>
      <c r="T99" s="664">
        <f t="shared" si="41"/>
        <v>0</v>
      </c>
      <c r="U99" s="664">
        <f t="shared" si="41"/>
        <v>0</v>
      </c>
    </row>
    <row r="100" spans="1:21" s="59" customFormat="1" ht="15.75">
      <c r="A100" s="769"/>
      <c r="B100" s="656"/>
      <c r="C100" s="404"/>
      <c r="D100" s="641"/>
      <c r="E100" s="405"/>
      <c r="F100" s="690"/>
      <c r="G100" s="679"/>
      <c r="H100" s="679"/>
      <c r="I100" s="679"/>
      <c r="J100" s="679"/>
      <c r="K100" s="679"/>
      <c r="L100" s="679"/>
      <c r="M100" s="679"/>
      <c r="N100" s="679"/>
      <c r="O100" s="679"/>
      <c r="P100" s="679"/>
      <c r="Q100" s="679"/>
      <c r="R100" s="679"/>
      <c r="S100" s="442"/>
      <c r="T100" s="442"/>
      <c r="U100" s="454"/>
    </row>
    <row r="101" spans="1:21" s="235" customFormat="1" ht="15.75">
      <c r="A101" s="361" t="s">
        <v>158</v>
      </c>
      <c r="B101" s="659" t="s">
        <v>159</v>
      </c>
      <c r="C101" s="376"/>
      <c r="D101" s="233"/>
      <c r="E101" s="234"/>
      <c r="F101" s="666">
        <f>0.05*F$32</f>
        <v>48.620000000000005</v>
      </c>
      <c r="G101" s="666">
        <f>0.05*G$32</f>
        <v>21.450000000000003</v>
      </c>
      <c r="H101" s="666">
        <f>0.01*H$32</f>
        <v>4.29</v>
      </c>
      <c r="I101" s="666"/>
      <c r="J101" s="666"/>
      <c r="K101" s="666">
        <f>0.01*K$32</f>
        <v>4.29</v>
      </c>
      <c r="L101" s="666"/>
      <c r="M101" s="666"/>
      <c r="N101" s="666"/>
      <c r="O101" s="666"/>
      <c r="P101" s="666"/>
      <c r="Q101" s="666">
        <f>0.02*Q$32</f>
        <v>25.740000000000002</v>
      </c>
      <c r="R101" s="666">
        <f>0.02*R$32</f>
        <v>25.740000000000002</v>
      </c>
      <c r="S101" s="666">
        <f>TRUNC(0.02*S$32)</f>
        <v>0</v>
      </c>
      <c r="T101" s="666">
        <f>TRUNC(0.02*T$32)</f>
        <v>0</v>
      </c>
      <c r="U101" s="666">
        <f>TRUNC(0.02*U$32)</f>
        <v>0</v>
      </c>
    </row>
    <row r="102" spans="1:21" s="59" customFormat="1" ht="15.75">
      <c r="A102" s="657" t="s">
        <v>160</v>
      </c>
      <c r="B102" s="658" t="s">
        <v>99</v>
      </c>
      <c r="C102" s="404"/>
      <c r="D102" s="641" t="s">
        <v>890</v>
      </c>
      <c r="E102" s="405"/>
      <c r="F102" s="671">
        <f>0.33*$F$101</f>
        <v>16.044600000000003</v>
      </c>
      <c r="G102" s="692">
        <f>0.33*$G$101</f>
        <v>7.0785000000000009</v>
      </c>
      <c r="H102" s="688"/>
      <c r="I102" s="688"/>
      <c r="J102" s="688"/>
      <c r="K102" s="688"/>
      <c r="L102" s="688"/>
      <c r="M102" s="688"/>
      <c r="N102" s="688"/>
      <c r="O102" s="688"/>
      <c r="P102" s="688"/>
      <c r="Q102" s="688"/>
      <c r="R102" s="688"/>
      <c r="S102" s="689"/>
      <c r="T102" s="689"/>
      <c r="U102" s="457"/>
    </row>
    <row r="103" spans="1:21" s="59" customFormat="1" ht="15.75">
      <c r="A103" s="657" t="s">
        <v>161</v>
      </c>
      <c r="B103" s="658" t="s">
        <v>137</v>
      </c>
      <c r="C103" s="404"/>
      <c r="D103" s="641" t="s">
        <v>890</v>
      </c>
      <c r="E103" s="405"/>
      <c r="F103" s="671">
        <f>0.34*$F$101</f>
        <v>16.530800000000003</v>
      </c>
      <c r="G103" s="692">
        <f>0.34*$G$101</f>
        <v>7.2930000000000019</v>
      </c>
      <c r="H103" s="688">
        <f>0.5*$H$101</f>
        <v>2.145</v>
      </c>
      <c r="I103" s="688"/>
      <c r="J103" s="688"/>
      <c r="K103" s="688"/>
      <c r="L103" s="688"/>
      <c r="M103" s="688"/>
      <c r="N103" s="688"/>
      <c r="O103" s="688"/>
      <c r="P103" s="688"/>
      <c r="Q103" s="688"/>
      <c r="R103" s="688"/>
      <c r="S103" s="689"/>
      <c r="T103" s="689"/>
      <c r="U103" s="457"/>
    </row>
    <row r="104" spans="1:21" s="59" customFormat="1" ht="15.75">
      <c r="A104" s="657" t="s">
        <v>162</v>
      </c>
      <c r="B104" s="656" t="s">
        <v>105</v>
      </c>
      <c r="C104" s="404"/>
      <c r="D104" s="641" t="s">
        <v>890</v>
      </c>
      <c r="E104" s="405"/>
      <c r="F104" s="671">
        <f>0.33*$F$101</f>
        <v>16.044600000000003</v>
      </c>
      <c r="G104" s="692">
        <f>0.33*$G$101</f>
        <v>7.0785000000000009</v>
      </c>
      <c r="H104" s="688">
        <f>0.5*$H$101</f>
        <v>2.145</v>
      </c>
      <c r="I104" s="688"/>
      <c r="J104" s="688"/>
      <c r="K104" s="677">
        <f>1*K101</f>
        <v>4.29</v>
      </c>
      <c r="L104" s="688"/>
      <c r="M104" s="688"/>
      <c r="N104" s="688"/>
      <c r="O104" s="688"/>
      <c r="P104" s="688"/>
      <c r="Q104" s="688">
        <f>1*Q101</f>
        <v>25.740000000000002</v>
      </c>
      <c r="R104" s="688">
        <f>1*R101</f>
        <v>25.740000000000002</v>
      </c>
      <c r="S104" s="689"/>
      <c r="T104" s="689"/>
      <c r="U104" s="457"/>
    </row>
    <row r="105" spans="1:21" s="240" customFormat="1" ht="15.75">
      <c r="A105" s="365"/>
      <c r="B105" s="616"/>
      <c r="C105" s="320"/>
      <c r="D105" s="238"/>
      <c r="E105" s="239"/>
      <c r="F105" s="664">
        <f t="shared" ref="F105:U105" si="42">F101-SUM(F102:F104)</f>
        <v>0</v>
      </c>
      <c r="G105" s="664">
        <f t="shared" si="42"/>
        <v>0</v>
      </c>
      <c r="H105" s="664">
        <f t="shared" si="42"/>
        <v>0</v>
      </c>
      <c r="I105" s="664">
        <f t="shared" si="42"/>
        <v>0</v>
      </c>
      <c r="J105" s="664">
        <f t="shared" si="42"/>
        <v>0</v>
      </c>
      <c r="K105" s="664">
        <f t="shared" si="42"/>
        <v>0</v>
      </c>
      <c r="L105" s="664">
        <f t="shared" si="42"/>
        <v>0</v>
      </c>
      <c r="M105" s="664">
        <f t="shared" si="42"/>
        <v>0</v>
      </c>
      <c r="N105" s="664">
        <f t="shared" si="42"/>
        <v>0</v>
      </c>
      <c r="O105" s="664">
        <f t="shared" si="42"/>
        <v>0</v>
      </c>
      <c r="P105" s="664"/>
      <c r="Q105" s="664">
        <f t="shared" si="42"/>
        <v>0</v>
      </c>
      <c r="R105" s="664">
        <f t="shared" si="42"/>
        <v>0</v>
      </c>
      <c r="S105" s="664">
        <f t="shared" si="42"/>
        <v>0</v>
      </c>
      <c r="T105" s="664">
        <f t="shared" si="42"/>
        <v>0</v>
      </c>
      <c r="U105" s="664">
        <f t="shared" si="42"/>
        <v>0</v>
      </c>
    </row>
    <row r="106" spans="1:21" s="59" customFormat="1" ht="15.75">
      <c r="A106" s="90"/>
      <c r="B106" s="656"/>
      <c r="C106" s="404"/>
      <c r="D106" s="641"/>
      <c r="E106" s="405"/>
      <c r="F106" s="690"/>
      <c r="G106" s="679"/>
      <c r="H106" s="679"/>
      <c r="I106" s="679"/>
      <c r="J106" s="679"/>
      <c r="K106" s="679"/>
      <c r="L106" s="679"/>
      <c r="M106" s="679"/>
      <c r="N106" s="679"/>
      <c r="O106" s="679"/>
      <c r="P106" s="679"/>
      <c r="Q106" s="679"/>
      <c r="R106" s="679"/>
      <c r="S106" s="442"/>
      <c r="T106" s="442"/>
      <c r="U106" s="454"/>
    </row>
    <row r="107" spans="1:21" s="235" customFormat="1" ht="15.75">
      <c r="A107" s="361" t="s">
        <v>163</v>
      </c>
      <c r="B107" s="659" t="s">
        <v>164</v>
      </c>
      <c r="C107" s="376"/>
      <c r="D107" s="233"/>
      <c r="E107" s="234"/>
      <c r="F107" s="666"/>
      <c r="G107" s="666"/>
      <c r="H107" s="666">
        <f>0.06*H$32</f>
        <v>25.74</v>
      </c>
      <c r="I107" s="666">
        <f>0.01*I$32</f>
        <v>8.58</v>
      </c>
      <c r="J107" s="666"/>
      <c r="K107" s="666">
        <f>0.06*K$32</f>
        <v>25.74</v>
      </c>
      <c r="L107" s="666">
        <f>0.2*L$32</f>
        <v>171.60000000000002</v>
      </c>
      <c r="M107" s="666">
        <f>0.15*M$32</f>
        <v>64.349999999999994</v>
      </c>
      <c r="N107" s="666"/>
      <c r="O107" s="666"/>
      <c r="P107" s="666"/>
      <c r="Q107" s="666">
        <f>0.02*Q$32</f>
        <v>25.740000000000002</v>
      </c>
      <c r="R107" s="666">
        <f>0.02*R$32</f>
        <v>25.740000000000002</v>
      </c>
      <c r="S107" s="666">
        <f>TRUNC(0.02*S$32)</f>
        <v>0</v>
      </c>
      <c r="T107" s="666">
        <f>TRUNC(0.02*T$32)</f>
        <v>0</v>
      </c>
      <c r="U107" s="666">
        <f>TRUNC(0.02*U$32)</f>
        <v>0</v>
      </c>
    </row>
    <row r="108" spans="1:21" s="59" customFormat="1" ht="15.75">
      <c r="A108" s="769" t="s">
        <v>165</v>
      </c>
      <c r="B108" s="658" t="s">
        <v>99</v>
      </c>
      <c r="C108" s="404"/>
      <c r="D108" s="641" t="s">
        <v>890</v>
      </c>
      <c r="E108" s="405"/>
      <c r="F108" s="692"/>
      <c r="G108" s="688"/>
      <c r="H108" s="688">
        <f t="shared" ref="H108:H112" si="43">0.2*$H$107</f>
        <v>5.1479999999999997</v>
      </c>
      <c r="I108" s="688">
        <f>0.5*$I$107</f>
        <v>4.29</v>
      </c>
      <c r="J108" s="688"/>
      <c r="K108" s="688">
        <f>0.5*K107</f>
        <v>12.87</v>
      </c>
      <c r="L108" s="688">
        <f>0.2*$L$107</f>
        <v>34.320000000000007</v>
      </c>
      <c r="M108" s="688">
        <f>0.2*$M$107</f>
        <v>12.87</v>
      </c>
      <c r="N108" s="688"/>
      <c r="O108" s="688"/>
      <c r="P108" s="688"/>
      <c r="Q108" s="688"/>
      <c r="R108" s="688"/>
      <c r="S108" s="689"/>
      <c r="T108" s="689"/>
      <c r="U108" s="457"/>
    </row>
    <row r="109" spans="1:21" s="368" customFormat="1" ht="15.75">
      <c r="A109" s="769" t="s">
        <v>166</v>
      </c>
      <c r="B109" s="656" t="s">
        <v>167</v>
      </c>
      <c r="C109" s="404"/>
      <c r="D109" s="641" t="s">
        <v>890</v>
      </c>
      <c r="E109" s="405"/>
      <c r="F109" s="692"/>
      <c r="G109" s="688"/>
      <c r="H109" s="688">
        <f t="shared" si="43"/>
        <v>5.1479999999999997</v>
      </c>
      <c r="I109" s="688"/>
      <c r="J109" s="688"/>
      <c r="K109" s="688"/>
      <c r="L109" s="688">
        <f>0.1*$L$107</f>
        <v>17.160000000000004</v>
      </c>
      <c r="M109" s="688">
        <f>0.2*$M$107</f>
        <v>12.87</v>
      </c>
      <c r="N109" s="688"/>
      <c r="O109" s="688"/>
      <c r="P109" s="688"/>
      <c r="Q109" s="688"/>
      <c r="R109" s="688"/>
      <c r="S109" s="689"/>
      <c r="T109" s="689"/>
      <c r="U109" s="457"/>
    </row>
    <row r="110" spans="1:21" s="59" customFormat="1" ht="15.75">
      <c r="A110" s="769" t="s">
        <v>168</v>
      </c>
      <c r="B110" s="656" t="s">
        <v>169</v>
      </c>
      <c r="C110" s="404"/>
      <c r="D110" s="641" t="s">
        <v>890</v>
      </c>
      <c r="E110" s="405"/>
      <c r="F110" s="692"/>
      <c r="G110" s="688"/>
      <c r="H110" s="688">
        <f t="shared" si="43"/>
        <v>5.1479999999999997</v>
      </c>
      <c r="I110" s="688"/>
      <c r="J110" s="688"/>
      <c r="K110" s="688"/>
      <c r="L110" s="688">
        <f>0.2*$L$107</f>
        <v>34.320000000000007</v>
      </c>
      <c r="M110" s="688">
        <f>0.1*$M$107</f>
        <v>6.4349999999999996</v>
      </c>
      <c r="N110" s="688"/>
      <c r="O110" s="688"/>
      <c r="P110" s="688"/>
      <c r="Q110" s="688"/>
      <c r="R110" s="688"/>
      <c r="S110" s="689"/>
      <c r="T110" s="689"/>
      <c r="U110" s="457"/>
    </row>
    <row r="111" spans="1:21" s="59" customFormat="1" ht="15.75">
      <c r="A111" s="769" t="s">
        <v>170</v>
      </c>
      <c r="B111" s="656" t="s">
        <v>171</v>
      </c>
      <c r="C111" s="404"/>
      <c r="D111" s="641" t="s">
        <v>890</v>
      </c>
      <c r="E111" s="405"/>
      <c r="F111" s="692"/>
      <c r="G111" s="688"/>
      <c r="H111" s="688">
        <f t="shared" si="43"/>
        <v>5.1479999999999997</v>
      </c>
      <c r="I111" s="688"/>
      <c r="J111" s="688"/>
      <c r="K111" s="688"/>
      <c r="L111" s="688">
        <f>0.1*$L$107</f>
        <v>17.160000000000004</v>
      </c>
      <c r="M111" s="688">
        <f>0.1*$M$107</f>
        <v>6.4349999999999996</v>
      </c>
      <c r="N111" s="688"/>
      <c r="O111" s="688"/>
      <c r="P111" s="688"/>
      <c r="Q111" s="688"/>
      <c r="R111" s="688"/>
      <c r="S111" s="689"/>
      <c r="T111" s="689"/>
      <c r="U111" s="457"/>
    </row>
    <row r="112" spans="1:21" s="59" customFormat="1" ht="15.75">
      <c r="A112" s="769" t="s">
        <v>172</v>
      </c>
      <c r="B112" s="656" t="s">
        <v>173</v>
      </c>
      <c r="C112" s="404"/>
      <c r="D112" s="641" t="s">
        <v>890</v>
      </c>
      <c r="E112" s="405"/>
      <c r="F112" s="692"/>
      <c r="G112" s="688"/>
      <c r="H112" s="688">
        <f t="shared" si="43"/>
        <v>5.1479999999999997</v>
      </c>
      <c r="I112" s="688">
        <f>0.5*$I$107</f>
        <v>4.29</v>
      </c>
      <c r="J112" s="688"/>
      <c r="K112" s="688">
        <f>0.5*K107</f>
        <v>12.87</v>
      </c>
      <c r="L112" s="688">
        <f>0.2*$L$107</f>
        <v>34.320000000000007</v>
      </c>
      <c r="M112" s="688">
        <f>0.2*$M$107</f>
        <v>12.87</v>
      </c>
      <c r="N112" s="688"/>
      <c r="O112" s="688"/>
      <c r="P112" s="688"/>
      <c r="Q112" s="688">
        <f>1*Q107</f>
        <v>25.740000000000002</v>
      </c>
      <c r="R112" s="688">
        <f>1*R107</f>
        <v>25.740000000000002</v>
      </c>
      <c r="S112" s="689"/>
      <c r="T112" s="689"/>
      <c r="U112" s="457"/>
    </row>
    <row r="113" spans="1:21" s="59" customFormat="1" ht="15.75">
      <c r="A113" s="769" t="s">
        <v>174</v>
      </c>
      <c r="B113" s="656" t="s">
        <v>112</v>
      </c>
      <c r="C113" s="404"/>
      <c r="D113" s="641" t="s">
        <v>890</v>
      </c>
      <c r="E113" s="405"/>
      <c r="F113" s="692"/>
      <c r="G113" s="688"/>
      <c r="H113" s="688"/>
      <c r="I113" s="688"/>
      <c r="J113" s="688"/>
      <c r="K113" s="688"/>
      <c r="L113" s="688">
        <f>0.2*$L$107</f>
        <v>34.320000000000007</v>
      </c>
      <c r="M113" s="688">
        <f>0.2*$M$107</f>
        <v>12.87</v>
      </c>
      <c r="N113" s="688"/>
      <c r="O113" s="688"/>
      <c r="P113" s="688"/>
      <c r="Q113" s="688"/>
      <c r="R113" s="688"/>
      <c r="S113" s="689"/>
      <c r="T113" s="689"/>
      <c r="U113" s="457"/>
    </row>
    <row r="114" spans="1:21" s="240" customFormat="1" ht="15.75">
      <c r="A114" s="365"/>
      <c r="B114" s="616"/>
      <c r="C114" s="320"/>
      <c r="D114" s="238"/>
      <c r="E114" s="239"/>
      <c r="F114" s="664">
        <f t="shared" ref="F114:U114" si="44">F107-SUM(F108:F113)</f>
        <v>0</v>
      </c>
      <c r="G114" s="664">
        <f t="shared" si="44"/>
        <v>0</v>
      </c>
      <c r="H114" s="664">
        <f t="shared" si="44"/>
        <v>0</v>
      </c>
      <c r="I114" s="664">
        <f t="shared" si="44"/>
        <v>0</v>
      </c>
      <c r="J114" s="664">
        <f t="shared" si="44"/>
        <v>0</v>
      </c>
      <c r="K114" s="664">
        <f t="shared" si="44"/>
        <v>0</v>
      </c>
      <c r="L114" s="664">
        <f t="shared" si="44"/>
        <v>0</v>
      </c>
      <c r="M114" s="664">
        <f t="shared" si="44"/>
        <v>0</v>
      </c>
      <c r="N114" s="664">
        <f t="shared" si="44"/>
        <v>0</v>
      </c>
      <c r="O114" s="664">
        <f t="shared" si="44"/>
        <v>0</v>
      </c>
      <c r="P114" s="664"/>
      <c r="Q114" s="664">
        <f t="shared" si="44"/>
        <v>0</v>
      </c>
      <c r="R114" s="664">
        <f t="shared" si="44"/>
        <v>0</v>
      </c>
      <c r="S114" s="664">
        <f t="shared" si="44"/>
        <v>0</v>
      </c>
      <c r="T114" s="664">
        <f t="shared" si="44"/>
        <v>0</v>
      </c>
      <c r="U114" s="664">
        <f t="shared" si="44"/>
        <v>0</v>
      </c>
    </row>
    <row r="115" spans="1:21" s="368" customFormat="1" ht="15.75">
      <c r="A115" s="769"/>
      <c r="B115" s="656"/>
      <c r="C115" s="404"/>
      <c r="D115" s="641"/>
      <c r="E115" s="405"/>
      <c r="F115" s="690"/>
      <c r="G115" s="679"/>
      <c r="H115" s="679"/>
      <c r="I115" s="679"/>
      <c r="J115" s="679"/>
      <c r="K115" s="679"/>
      <c r="L115" s="679"/>
      <c r="M115" s="679"/>
      <c r="N115" s="679"/>
      <c r="O115" s="679"/>
      <c r="P115" s="679"/>
      <c r="Q115" s="679"/>
      <c r="R115" s="679"/>
      <c r="S115" s="442"/>
      <c r="T115" s="442"/>
      <c r="U115" s="454"/>
    </row>
    <row r="116" spans="1:21" s="235" customFormat="1" ht="15.75">
      <c r="A116" s="361" t="s">
        <v>175</v>
      </c>
      <c r="B116" s="613" t="s">
        <v>176</v>
      </c>
      <c r="C116" s="376"/>
      <c r="D116" s="233"/>
      <c r="E116" s="234"/>
      <c r="F116" s="666"/>
      <c r="G116" s="666"/>
      <c r="H116" s="666">
        <f>0.01*H$32</f>
        <v>4.29</v>
      </c>
      <c r="I116" s="666">
        <f>0.08*I$32</f>
        <v>68.64</v>
      </c>
      <c r="J116" s="666">
        <f>0.09*J$32</f>
        <v>38.61</v>
      </c>
      <c r="K116" s="666">
        <f>0.01*K$32</f>
        <v>4.29</v>
      </c>
      <c r="L116" s="666">
        <f>0.05*L$32</f>
        <v>42.900000000000006</v>
      </c>
      <c r="M116" s="666">
        <f>0.05*M$32</f>
        <v>21.450000000000003</v>
      </c>
      <c r="N116" s="666"/>
      <c r="O116" s="666"/>
      <c r="P116" s="666"/>
      <c r="Q116" s="666">
        <f>0.05*Q$32</f>
        <v>64.350000000000009</v>
      </c>
      <c r="R116" s="666">
        <f>0.05*R$32</f>
        <v>64.350000000000009</v>
      </c>
      <c r="S116" s="666">
        <f>TRUNC(0.02*S$32)</f>
        <v>0</v>
      </c>
      <c r="T116" s="666">
        <f>TRUNC(0.02*T$32)</f>
        <v>0</v>
      </c>
      <c r="U116" s="666">
        <f>TRUNC(0.02*U$32)</f>
        <v>0</v>
      </c>
    </row>
    <row r="117" spans="1:21" s="369" customFormat="1" ht="15.75">
      <c r="A117" s="657" t="s">
        <v>177</v>
      </c>
      <c r="B117" s="658" t="s">
        <v>99</v>
      </c>
      <c r="C117" s="429"/>
      <c r="D117" s="430" t="s">
        <v>890</v>
      </c>
      <c r="E117" s="431"/>
      <c r="F117" s="692"/>
      <c r="G117" s="688"/>
      <c r="H117" s="688"/>
      <c r="I117" s="688">
        <f>0.4*$I$116</f>
        <v>27.456000000000003</v>
      </c>
      <c r="J117" s="688">
        <f>0.4*$J$116</f>
        <v>15.444000000000001</v>
      </c>
      <c r="K117" s="688">
        <f>0.5*$K$116</f>
        <v>2.145</v>
      </c>
      <c r="L117" s="688">
        <f>0.4*$L$116</f>
        <v>17.160000000000004</v>
      </c>
      <c r="M117" s="688">
        <f>0.4*$M$116</f>
        <v>8.5800000000000018</v>
      </c>
      <c r="N117" s="688"/>
      <c r="O117" s="688"/>
      <c r="P117" s="688"/>
      <c r="Q117" s="688"/>
      <c r="R117" s="688"/>
      <c r="S117" s="689"/>
      <c r="T117" s="689"/>
      <c r="U117" s="437"/>
    </row>
    <row r="118" spans="1:21" s="59" customFormat="1" ht="15.75">
      <c r="A118" s="657" t="s">
        <v>178</v>
      </c>
      <c r="B118" s="656" t="s">
        <v>139</v>
      </c>
      <c r="C118" s="404"/>
      <c r="D118" s="641" t="s">
        <v>890</v>
      </c>
      <c r="E118" s="405"/>
      <c r="F118" s="692"/>
      <c r="G118" s="688"/>
      <c r="H118" s="688">
        <f>0.5*$H$116</f>
        <v>2.145</v>
      </c>
      <c r="I118" s="688">
        <f>0.2*$I$116</f>
        <v>13.728000000000002</v>
      </c>
      <c r="J118" s="688">
        <f>0.2*$J$116</f>
        <v>7.7220000000000004</v>
      </c>
      <c r="K118" s="688"/>
      <c r="L118" s="688">
        <f>0.2*$L$116</f>
        <v>8.5800000000000018</v>
      </c>
      <c r="M118" s="688">
        <f>0.2*$M$116</f>
        <v>4.2900000000000009</v>
      </c>
      <c r="N118" s="688"/>
      <c r="O118" s="688"/>
      <c r="P118" s="688"/>
      <c r="Q118" s="688"/>
      <c r="R118" s="688"/>
      <c r="S118" s="689"/>
      <c r="T118" s="689"/>
      <c r="U118" s="457"/>
    </row>
    <row r="119" spans="1:21" s="59" customFormat="1" ht="15.75">
      <c r="A119" s="657" t="s">
        <v>179</v>
      </c>
      <c r="B119" s="656" t="s">
        <v>105</v>
      </c>
      <c r="C119" s="404"/>
      <c r="D119" s="641" t="s">
        <v>890</v>
      </c>
      <c r="E119" s="405"/>
      <c r="F119" s="692"/>
      <c r="G119" s="688"/>
      <c r="H119" s="688">
        <f>0.5*$H$116</f>
        <v>2.145</v>
      </c>
      <c r="I119" s="688">
        <f>0.4*$I$116</f>
        <v>27.456000000000003</v>
      </c>
      <c r="J119" s="688">
        <f>0.4*$J$116</f>
        <v>15.444000000000001</v>
      </c>
      <c r="K119" s="688">
        <f>0.5*$K$116</f>
        <v>2.145</v>
      </c>
      <c r="L119" s="688">
        <f>0.4*$L$116</f>
        <v>17.160000000000004</v>
      </c>
      <c r="M119" s="688">
        <f>0.4*$M$116</f>
        <v>8.5800000000000018</v>
      </c>
      <c r="N119" s="688"/>
      <c r="O119" s="688"/>
      <c r="P119" s="688"/>
      <c r="Q119" s="688">
        <f>1*Q116</f>
        <v>64.350000000000009</v>
      </c>
      <c r="R119" s="688">
        <f>1*R116</f>
        <v>64.350000000000009</v>
      </c>
      <c r="S119" s="689"/>
      <c r="T119" s="689"/>
      <c r="U119" s="457"/>
    </row>
    <row r="120" spans="1:21" s="240" customFormat="1" ht="15.75">
      <c r="A120" s="365"/>
      <c r="B120" s="616"/>
      <c r="C120" s="320"/>
      <c r="D120" s="238"/>
      <c r="E120" s="239"/>
      <c r="F120" s="664">
        <f t="shared" ref="F120:U120" si="45">F116-SUM(F117:F119)</f>
        <v>0</v>
      </c>
      <c r="G120" s="664">
        <f t="shared" si="45"/>
        <v>0</v>
      </c>
      <c r="H120" s="664">
        <f t="shared" si="45"/>
        <v>0</v>
      </c>
      <c r="I120" s="664">
        <f t="shared" si="45"/>
        <v>0</v>
      </c>
      <c r="J120" s="664">
        <f t="shared" si="45"/>
        <v>0</v>
      </c>
      <c r="K120" s="664">
        <f>K116-SUM(K117:K119)</f>
        <v>0</v>
      </c>
      <c r="L120" s="664">
        <f t="shared" si="45"/>
        <v>0</v>
      </c>
      <c r="M120" s="664">
        <f t="shared" si="45"/>
        <v>0</v>
      </c>
      <c r="N120" s="664">
        <f t="shared" si="45"/>
        <v>0</v>
      </c>
      <c r="O120" s="664">
        <f t="shared" si="45"/>
        <v>0</v>
      </c>
      <c r="P120" s="664"/>
      <c r="Q120" s="664">
        <f t="shared" si="45"/>
        <v>0</v>
      </c>
      <c r="R120" s="664">
        <f t="shared" si="45"/>
        <v>0</v>
      </c>
      <c r="S120" s="664">
        <f t="shared" si="45"/>
        <v>0</v>
      </c>
      <c r="T120" s="664">
        <f t="shared" si="45"/>
        <v>0</v>
      </c>
      <c r="U120" s="664">
        <f t="shared" si="45"/>
        <v>0</v>
      </c>
    </row>
    <row r="121" spans="1:21" s="59" customFormat="1" ht="15.75">
      <c r="A121" s="769"/>
      <c r="B121" s="656"/>
      <c r="C121" s="404"/>
      <c r="D121" s="641"/>
      <c r="E121" s="405"/>
      <c r="F121" s="690"/>
      <c r="G121" s="679"/>
      <c r="H121" s="679"/>
      <c r="I121" s="679"/>
      <c r="J121" s="679"/>
      <c r="K121" s="679"/>
      <c r="L121" s="679"/>
      <c r="M121" s="679"/>
      <c r="N121" s="679"/>
      <c r="O121" s="679"/>
      <c r="P121" s="679"/>
      <c r="Q121" s="679"/>
      <c r="R121" s="679"/>
      <c r="S121" s="442"/>
      <c r="T121" s="442"/>
      <c r="U121" s="454"/>
    </row>
    <row r="122" spans="1:21" s="235" customFormat="1" ht="31.5">
      <c r="A122" s="361" t="s">
        <v>180</v>
      </c>
      <c r="B122" s="659" t="s">
        <v>181</v>
      </c>
      <c r="C122" s="376"/>
      <c r="D122" s="233"/>
      <c r="E122" s="234"/>
      <c r="F122" s="666"/>
      <c r="G122" s="666"/>
      <c r="H122" s="666">
        <f>0.01*H$32</f>
        <v>4.29</v>
      </c>
      <c r="I122" s="666"/>
      <c r="J122" s="666"/>
      <c r="K122" s="666">
        <f>0.01*K$32</f>
        <v>4.29</v>
      </c>
      <c r="L122" s="666">
        <f>0.063*L$32</f>
        <v>54.054000000000002</v>
      </c>
      <c r="M122" s="666">
        <f>0.063*M$32</f>
        <v>27.027000000000001</v>
      </c>
      <c r="N122" s="666"/>
      <c r="O122" s="666"/>
      <c r="P122" s="666"/>
      <c r="Q122" s="666"/>
      <c r="R122" s="666"/>
      <c r="S122" s="666">
        <f>TRUNC(0.02*S$32)</f>
        <v>0</v>
      </c>
      <c r="T122" s="666">
        <f>TRUNC(0.02*T$32)</f>
        <v>0</v>
      </c>
      <c r="U122" s="666">
        <f>TRUNC(0.02*U$32)</f>
        <v>0</v>
      </c>
    </row>
    <row r="123" spans="1:21" s="369" customFormat="1" ht="15.75">
      <c r="A123" s="657" t="s">
        <v>182</v>
      </c>
      <c r="B123" s="658" t="s">
        <v>99</v>
      </c>
      <c r="C123" s="429"/>
      <c r="D123" s="430" t="s">
        <v>890</v>
      </c>
      <c r="E123" s="431"/>
      <c r="F123" s="692"/>
      <c r="G123" s="688"/>
      <c r="H123" s="688"/>
      <c r="I123" s="688"/>
      <c r="J123" s="688"/>
      <c r="K123" s="688">
        <f>0.5*K122</f>
        <v>2.145</v>
      </c>
      <c r="L123" s="688">
        <f>0.25*$L$122</f>
        <v>13.513500000000001</v>
      </c>
      <c r="M123" s="688">
        <f>0.25*$M$122</f>
        <v>6.7567500000000003</v>
      </c>
      <c r="N123" s="688"/>
      <c r="O123" s="688"/>
      <c r="P123" s="688"/>
      <c r="Q123" s="688"/>
      <c r="R123" s="688"/>
      <c r="S123" s="689"/>
      <c r="T123" s="689"/>
      <c r="U123" s="437"/>
    </row>
    <row r="124" spans="1:21" s="59" customFormat="1" ht="15.75">
      <c r="A124" s="657" t="s">
        <v>183</v>
      </c>
      <c r="B124" s="656" t="s">
        <v>101</v>
      </c>
      <c r="C124" s="404"/>
      <c r="D124" s="641" t="s">
        <v>890</v>
      </c>
      <c r="E124" s="405"/>
      <c r="F124" s="692"/>
      <c r="G124" s="688"/>
      <c r="H124" s="688"/>
      <c r="I124" s="688"/>
      <c r="J124" s="688"/>
      <c r="K124" s="688"/>
      <c r="L124" s="688">
        <f>0.25*$L$122</f>
        <v>13.513500000000001</v>
      </c>
      <c r="M124" s="688">
        <f>0.25*$M$122</f>
        <v>6.7567500000000003</v>
      </c>
      <c r="N124" s="688"/>
      <c r="O124" s="688"/>
      <c r="P124" s="688"/>
      <c r="Q124" s="688"/>
      <c r="R124" s="688"/>
      <c r="S124" s="689"/>
      <c r="T124" s="689"/>
      <c r="U124" s="457"/>
    </row>
    <row r="125" spans="1:21" s="59" customFormat="1" ht="15.75">
      <c r="A125" s="657" t="s">
        <v>184</v>
      </c>
      <c r="B125" s="656" t="s">
        <v>112</v>
      </c>
      <c r="C125" s="404"/>
      <c r="D125" s="641" t="s">
        <v>890</v>
      </c>
      <c r="E125" s="405"/>
      <c r="F125" s="692"/>
      <c r="G125" s="688"/>
      <c r="H125" s="688">
        <f>0.5*$H$122</f>
        <v>2.145</v>
      </c>
      <c r="I125" s="688"/>
      <c r="J125" s="688"/>
      <c r="K125" s="688"/>
      <c r="L125" s="688">
        <f>0.25*$L$122</f>
        <v>13.513500000000001</v>
      </c>
      <c r="M125" s="688">
        <f>0.25*$M$122</f>
        <v>6.7567500000000003</v>
      </c>
      <c r="N125" s="688"/>
      <c r="O125" s="688"/>
      <c r="P125" s="688"/>
      <c r="Q125" s="688"/>
      <c r="R125" s="688"/>
      <c r="S125" s="689"/>
      <c r="T125" s="689"/>
      <c r="U125" s="457"/>
    </row>
    <row r="126" spans="1:21" s="59" customFormat="1" ht="15.75">
      <c r="A126" s="657" t="s">
        <v>185</v>
      </c>
      <c r="B126" s="656" t="s">
        <v>105</v>
      </c>
      <c r="C126" s="404"/>
      <c r="D126" s="641" t="s">
        <v>890</v>
      </c>
      <c r="E126" s="405"/>
      <c r="F126" s="692"/>
      <c r="G126" s="688"/>
      <c r="H126" s="688">
        <f>0.5*$H$122</f>
        <v>2.145</v>
      </c>
      <c r="I126" s="688"/>
      <c r="J126" s="688"/>
      <c r="K126" s="677">
        <f>0.5*K122</f>
        <v>2.145</v>
      </c>
      <c r="L126" s="688">
        <f>0.25*$L$122</f>
        <v>13.513500000000001</v>
      </c>
      <c r="M126" s="688">
        <f>0.25*$M$122</f>
        <v>6.7567500000000003</v>
      </c>
      <c r="N126" s="688"/>
      <c r="O126" s="688"/>
      <c r="P126" s="688"/>
      <c r="Q126" s="688"/>
      <c r="R126" s="688"/>
      <c r="S126" s="689"/>
      <c r="T126" s="689"/>
      <c r="U126" s="457"/>
    </row>
    <row r="127" spans="1:21" s="240" customFormat="1" ht="15.75">
      <c r="A127" s="365"/>
      <c r="B127" s="616"/>
      <c r="C127" s="320"/>
      <c r="D127" s="238"/>
      <c r="E127" s="239"/>
      <c r="F127" s="664">
        <f t="shared" ref="F127:U127" si="46">F122-SUM(F123:F126)</f>
        <v>0</v>
      </c>
      <c r="G127" s="664">
        <f t="shared" si="46"/>
        <v>0</v>
      </c>
      <c r="H127" s="664">
        <f t="shared" si="46"/>
        <v>0</v>
      </c>
      <c r="I127" s="664">
        <f t="shared" si="46"/>
        <v>0</v>
      </c>
      <c r="J127" s="664">
        <f t="shared" si="46"/>
        <v>0</v>
      </c>
      <c r="K127" s="664">
        <f t="shared" si="46"/>
        <v>0</v>
      </c>
      <c r="L127" s="664">
        <f t="shared" si="46"/>
        <v>0</v>
      </c>
      <c r="M127" s="664">
        <f t="shared" si="46"/>
        <v>0</v>
      </c>
      <c r="N127" s="664">
        <f t="shared" si="46"/>
        <v>0</v>
      </c>
      <c r="O127" s="664">
        <f t="shared" si="46"/>
        <v>0</v>
      </c>
      <c r="P127" s="664"/>
      <c r="Q127" s="664">
        <f t="shared" si="46"/>
        <v>0</v>
      </c>
      <c r="R127" s="664">
        <f t="shared" si="46"/>
        <v>0</v>
      </c>
      <c r="S127" s="664">
        <f t="shared" si="46"/>
        <v>0</v>
      </c>
      <c r="T127" s="664">
        <f t="shared" si="46"/>
        <v>0</v>
      </c>
      <c r="U127" s="664">
        <f t="shared" si="46"/>
        <v>0</v>
      </c>
    </row>
    <row r="128" spans="1:21" s="59" customFormat="1" ht="15.75">
      <c r="A128" s="769"/>
      <c r="B128" s="656"/>
      <c r="C128" s="404"/>
      <c r="D128" s="641"/>
      <c r="E128" s="405"/>
      <c r="F128" s="690"/>
      <c r="G128" s="679"/>
      <c r="H128" s="679"/>
      <c r="I128" s="679"/>
      <c r="J128" s="679"/>
      <c r="K128" s="679"/>
      <c r="L128" s="679"/>
      <c r="M128" s="679"/>
      <c r="N128" s="679"/>
      <c r="O128" s="679"/>
      <c r="P128" s="679"/>
      <c r="Q128" s="679"/>
      <c r="R128" s="679"/>
      <c r="S128" s="442"/>
      <c r="T128" s="442"/>
      <c r="U128" s="454"/>
    </row>
    <row r="129" spans="1:21" s="230" customFormat="1" ht="15.75">
      <c r="A129" s="361" t="s">
        <v>186</v>
      </c>
      <c r="B129" s="659" t="s">
        <v>187</v>
      </c>
      <c r="C129" s="376"/>
      <c r="D129" s="227"/>
      <c r="E129" s="228"/>
      <c r="F129" s="666"/>
      <c r="G129" s="666"/>
      <c r="H129" s="666">
        <f>0.01*H$32</f>
        <v>4.29</v>
      </c>
      <c r="I129" s="666"/>
      <c r="J129" s="666"/>
      <c r="K129" s="666">
        <f>0.01*K$32</f>
        <v>4.29</v>
      </c>
      <c r="L129" s="666">
        <f>0.05*L$32</f>
        <v>42.900000000000006</v>
      </c>
      <c r="M129" s="666">
        <f>0.05*M$32</f>
        <v>21.450000000000003</v>
      </c>
      <c r="N129" s="666"/>
      <c r="O129" s="666"/>
      <c r="P129" s="666"/>
      <c r="Q129" s="666">
        <f>0.01*Q$32</f>
        <v>12.870000000000001</v>
      </c>
      <c r="R129" s="666">
        <f>0.01*R$32</f>
        <v>12.870000000000001</v>
      </c>
      <c r="S129" s="666">
        <f>TRUNC(0.02*S$32)</f>
        <v>0</v>
      </c>
      <c r="T129" s="666">
        <f>TRUNC(0.02*T$32)</f>
        <v>0</v>
      </c>
      <c r="U129" s="666">
        <f>TRUNC(0.02*U$32)</f>
        <v>0</v>
      </c>
    </row>
    <row r="130" spans="1:21" s="369" customFormat="1" ht="15.75">
      <c r="A130" s="433" t="s">
        <v>188</v>
      </c>
      <c r="B130" s="658" t="s">
        <v>99</v>
      </c>
      <c r="C130" s="434"/>
      <c r="D130" s="430" t="s">
        <v>890</v>
      </c>
      <c r="E130" s="435"/>
      <c r="F130" s="691"/>
      <c r="G130" s="681"/>
      <c r="H130" s="681"/>
      <c r="I130" s="681"/>
      <c r="J130" s="681"/>
      <c r="K130" s="681">
        <f>0.5*$K$129</f>
        <v>2.145</v>
      </c>
      <c r="L130" s="681">
        <f>0.25*$L$129</f>
        <v>10.725000000000001</v>
      </c>
      <c r="M130" s="681">
        <f>0.25*$M$129</f>
        <v>5.3625000000000007</v>
      </c>
      <c r="N130" s="677"/>
      <c r="O130" s="677"/>
      <c r="P130" s="677"/>
      <c r="Q130" s="677"/>
      <c r="R130" s="677"/>
      <c r="S130" s="460"/>
      <c r="T130" s="460"/>
      <c r="U130" s="441"/>
    </row>
    <row r="131" spans="1:21" s="47" customFormat="1" ht="15.75">
      <c r="A131" s="433" t="s">
        <v>189</v>
      </c>
      <c r="B131" s="658" t="s">
        <v>135</v>
      </c>
      <c r="C131" s="396"/>
      <c r="D131" s="641" t="s">
        <v>890</v>
      </c>
      <c r="E131" s="397"/>
      <c r="F131" s="691"/>
      <c r="G131" s="681"/>
      <c r="H131" s="681"/>
      <c r="I131" s="681"/>
      <c r="J131" s="681"/>
      <c r="K131" s="681"/>
      <c r="L131" s="681">
        <f>0.25*$L$129</f>
        <v>10.725000000000001</v>
      </c>
      <c r="M131" s="681">
        <f>0.25*$M$129</f>
        <v>5.3625000000000007</v>
      </c>
      <c r="N131" s="678"/>
      <c r="O131" s="678"/>
      <c r="P131" s="678"/>
      <c r="Q131" s="678"/>
      <c r="R131" s="678"/>
      <c r="S131" s="327"/>
      <c r="T131" s="327"/>
      <c r="U131" s="454"/>
    </row>
    <row r="132" spans="1:21" s="47" customFormat="1" ht="15.75">
      <c r="A132" s="433" t="s">
        <v>190</v>
      </c>
      <c r="B132" s="656" t="s">
        <v>112</v>
      </c>
      <c r="C132" s="396"/>
      <c r="D132" s="641" t="s">
        <v>890</v>
      </c>
      <c r="E132" s="397"/>
      <c r="F132" s="691"/>
      <c r="G132" s="681"/>
      <c r="H132" s="681">
        <f>0.5*$H$129</f>
        <v>2.145</v>
      </c>
      <c r="I132" s="681"/>
      <c r="J132" s="681"/>
      <c r="K132" s="681"/>
      <c r="L132" s="681">
        <f>0.25*$L$129</f>
        <v>10.725000000000001</v>
      </c>
      <c r="M132" s="681">
        <f>0.25*$M$129</f>
        <v>5.3625000000000007</v>
      </c>
      <c r="N132" s="678"/>
      <c r="O132" s="678"/>
      <c r="P132" s="678"/>
      <c r="Q132" s="678"/>
      <c r="R132" s="678"/>
      <c r="S132" s="327"/>
      <c r="T132" s="327"/>
      <c r="U132" s="454"/>
    </row>
    <row r="133" spans="1:21" s="47" customFormat="1" ht="15.75">
      <c r="A133" s="433" t="s">
        <v>191</v>
      </c>
      <c r="B133" s="656" t="s">
        <v>105</v>
      </c>
      <c r="C133" s="396"/>
      <c r="D133" s="641" t="s">
        <v>890</v>
      </c>
      <c r="E133" s="397"/>
      <c r="F133" s="691"/>
      <c r="G133" s="681"/>
      <c r="H133" s="681">
        <f>0.5*$H$129</f>
        <v>2.145</v>
      </c>
      <c r="I133" s="681"/>
      <c r="J133" s="681"/>
      <c r="K133" s="681">
        <f>0.5*$K$129</f>
        <v>2.145</v>
      </c>
      <c r="L133" s="681">
        <f>0.25*$L$129</f>
        <v>10.725000000000001</v>
      </c>
      <c r="M133" s="681">
        <f>0.25*$M$129</f>
        <v>5.3625000000000007</v>
      </c>
      <c r="N133" s="678"/>
      <c r="O133" s="678"/>
      <c r="P133" s="678"/>
      <c r="Q133" s="678">
        <f>1*Q129</f>
        <v>12.870000000000001</v>
      </c>
      <c r="R133" s="678">
        <f>1*R129</f>
        <v>12.870000000000001</v>
      </c>
      <c r="S133" s="327"/>
      <c r="T133" s="327"/>
      <c r="U133" s="454"/>
    </row>
    <row r="134" spans="1:21" s="240" customFormat="1" ht="15.75">
      <c r="A134" s="365"/>
      <c r="B134" s="616"/>
      <c r="C134" s="320"/>
      <c r="D134" s="238"/>
      <c r="E134" s="239"/>
      <c r="F134" s="664">
        <f t="shared" ref="F134:U134" si="47">F129-SUM(F130:F133)</f>
        <v>0</v>
      </c>
      <c r="G134" s="664">
        <f t="shared" si="47"/>
        <v>0</v>
      </c>
      <c r="H134" s="664">
        <f t="shared" si="47"/>
        <v>0</v>
      </c>
      <c r="I134" s="664">
        <f t="shared" si="47"/>
        <v>0</v>
      </c>
      <c r="J134" s="664">
        <f t="shared" si="47"/>
        <v>0</v>
      </c>
      <c r="K134" s="664">
        <f t="shared" si="47"/>
        <v>0</v>
      </c>
      <c r="L134" s="664">
        <f t="shared" si="47"/>
        <v>0</v>
      </c>
      <c r="M134" s="664">
        <f t="shared" si="47"/>
        <v>0</v>
      </c>
      <c r="N134" s="664">
        <f t="shared" si="47"/>
        <v>0</v>
      </c>
      <c r="O134" s="664">
        <f t="shared" si="47"/>
        <v>0</v>
      </c>
      <c r="P134" s="664"/>
      <c r="Q134" s="664">
        <f t="shared" si="47"/>
        <v>0</v>
      </c>
      <c r="R134" s="664">
        <f t="shared" si="47"/>
        <v>0</v>
      </c>
      <c r="S134" s="664">
        <f t="shared" si="47"/>
        <v>0</v>
      </c>
      <c r="T134" s="664">
        <f t="shared" si="47"/>
        <v>0</v>
      </c>
      <c r="U134" s="664">
        <f t="shared" si="47"/>
        <v>0</v>
      </c>
    </row>
    <row r="135" spans="1:21" s="59" customFormat="1" ht="15.75">
      <c r="A135" s="426"/>
      <c r="B135" s="656"/>
      <c r="C135" s="396"/>
      <c r="D135" s="641"/>
      <c r="E135" s="397"/>
      <c r="F135" s="691"/>
      <c r="G135" s="681"/>
      <c r="H135" s="681"/>
      <c r="I135" s="681"/>
      <c r="J135" s="681"/>
      <c r="K135" s="681"/>
      <c r="L135" s="681"/>
      <c r="M135" s="677"/>
      <c r="N135" s="678"/>
      <c r="O135" s="678"/>
      <c r="P135" s="678"/>
      <c r="Q135" s="678"/>
      <c r="R135" s="678"/>
      <c r="S135" s="327"/>
      <c r="T135" s="327"/>
      <c r="U135" s="454"/>
    </row>
    <row r="136" spans="1:21" s="834" customFormat="1" ht="15.75">
      <c r="A136" s="391" t="s">
        <v>192</v>
      </c>
      <c r="B136" s="617" t="s">
        <v>193</v>
      </c>
      <c r="C136" s="832"/>
      <c r="D136" s="419"/>
      <c r="E136" s="833"/>
      <c r="F136" s="669"/>
      <c r="G136" s="669"/>
      <c r="H136" s="669">
        <f>0.06*H$32</f>
        <v>25.74</v>
      </c>
      <c r="I136" s="669"/>
      <c r="J136" s="669"/>
      <c r="K136" s="669">
        <f>0.06*K$32</f>
        <v>25.74</v>
      </c>
      <c r="L136" s="669">
        <f>0.2*L$32</f>
        <v>171.60000000000002</v>
      </c>
      <c r="M136" s="669">
        <f>0.2*M$32</f>
        <v>85.800000000000011</v>
      </c>
      <c r="N136" s="669">
        <f>0.06*N$32</f>
        <v>25.74</v>
      </c>
      <c r="O136" s="669">
        <f>0.1*O$32</f>
        <v>42.900000000000006</v>
      </c>
      <c r="P136" s="669"/>
      <c r="Q136" s="669">
        <f>0.02*Q$32</f>
        <v>25.740000000000002</v>
      </c>
      <c r="R136" s="669">
        <f>0.02*R$32</f>
        <v>25.740000000000002</v>
      </c>
      <c r="S136" s="669">
        <f>TRUNC(0.02*S$32)</f>
        <v>0</v>
      </c>
      <c r="T136" s="669">
        <f>TRUNC(0.02*T$32)</f>
        <v>0</v>
      </c>
      <c r="U136" s="669">
        <f>TRUNC(0.02*U$32)</f>
        <v>0</v>
      </c>
    </row>
    <row r="137" spans="1:21" s="369" customFormat="1" ht="15.75">
      <c r="A137" s="433" t="s">
        <v>194</v>
      </c>
      <c r="B137" s="658" t="s">
        <v>99</v>
      </c>
      <c r="C137" s="434"/>
      <c r="D137" s="430" t="s">
        <v>890</v>
      </c>
      <c r="E137" s="435"/>
      <c r="F137" s="691"/>
      <c r="G137" s="681"/>
      <c r="H137" s="687">
        <f>0.5*$H$136</f>
        <v>12.87</v>
      </c>
      <c r="I137" s="681"/>
      <c r="J137" s="681"/>
      <c r="K137" s="681">
        <f>0.5*$K$136</f>
        <v>12.87</v>
      </c>
      <c r="L137" s="681">
        <f>0.4*$L$136</f>
        <v>68.640000000000015</v>
      </c>
      <c r="M137" s="681">
        <f>0.4*$M$136</f>
        <v>34.320000000000007</v>
      </c>
      <c r="N137" s="677"/>
      <c r="O137" s="677">
        <f>0.4*$O$136</f>
        <v>17.160000000000004</v>
      </c>
      <c r="P137" s="677"/>
      <c r="Q137" s="677"/>
      <c r="R137" s="677"/>
      <c r="S137" s="460"/>
      <c r="T137" s="460"/>
      <c r="U137" s="441"/>
    </row>
    <row r="138" spans="1:21" s="47" customFormat="1" ht="15.75">
      <c r="A138" s="433" t="s">
        <v>195</v>
      </c>
      <c r="B138" s="656" t="s">
        <v>101</v>
      </c>
      <c r="C138" s="396"/>
      <c r="D138" s="641" t="s">
        <v>890</v>
      </c>
      <c r="E138" s="397"/>
      <c r="F138" s="691"/>
      <c r="G138" s="681"/>
      <c r="H138" s="687"/>
      <c r="I138" s="687"/>
      <c r="J138" s="687"/>
      <c r="K138" s="681"/>
      <c r="L138" s="681">
        <f>0.2*$L$136</f>
        <v>34.320000000000007</v>
      </c>
      <c r="M138" s="681">
        <f>0.2*$M$136</f>
        <v>17.160000000000004</v>
      </c>
      <c r="N138" s="678">
        <f>0.5*$N$136</f>
        <v>12.87</v>
      </c>
      <c r="O138" s="677">
        <f>0.2*$O$136</f>
        <v>8.5800000000000018</v>
      </c>
      <c r="P138" s="678"/>
      <c r="Q138" s="678"/>
      <c r="R138" s="678"/>
      <c r="S138" s="327"/>
      <c r="T138" s="327"/>
      <c r="U138" s="454"/>
    </row>
    <row r="139" spans="1:21" s="59" customFormat="1" ht="15.75">
      <c r="A139" s="433" t="s">
        <v>196</v>
      </c>
      <c r="B139" s="656" t="s">
        <v>105</v>
      </c>
      <c r="C139" s="396"/>
      <c r="D139" s="641" t="s">
        <v>890</v>
      </c>
      <c r="E139" s="397"/>
      <c r="F139" s="455"/>
      <c r="G139" s="684"/>
      <c r="H139" s="687">
        <f>0.5*$H$136</f>
        <v>12.87</v>
      </c>
      <c r="I139" s="687"/>
      <c r="J139" s="687"/>
      <c r="K139" s="681">
        <f>0.5*$K$136</f>
        <v>12.87</v>
      </c>
      <c r="L139" s="681">
        <f>0.4*$L$136</f>
        <v>68.640000000000015</v>
      </c>
      <c r="M139" s="681">
        <f>0.4*$M$136</f>
        <v>34.320000000000007</v>
      </c>
      <c r="N139" s="678">
        <f>0.5*$N$136</f>
        <v>12.87</v>
      </c>
      <c r="O139" s="677">
        <f>0.4*$O$136</f>
        <v>17.160000000000004</v>
      </c>
      <c r="P139" s="678"/>
      <c r="Q139" s="678">
        <f>1*Q136</f>
        <v>25.740000000000002</v>
      </c>
      <c r="R139" s="678">
        <f>1*R136</f>
        <v>25.740000000000002</v>
      </c>
      <c r="S139" s="327"/>
      <c r="T139" s="327"/>
      <c r="U139" s="454"/>
    </row>
    <row r="140" spans="1:21" s="59" customFormat="1" ht="15.75">
      <c r="A140" s="426"/>
      <c r="B140" s="656"/>
      <c r="C140" s="396"/>
      <c r="D140" s="641"/>
      <c r="E140" s="397"/>
      <c r="F140" s="672">
        <f t="shared" ref="F140:U140" si="48">F136-SUM(F137:F139)</f>
        <v>0</v>
      </c>
      <c r="G140" s="672">
        <f t="shared" si="48"/>
        <v>0</v>
      </c>
      <c r="H140" s="672">
        <f t="shared" si="48"/>
        <v>0</v>
      </c>
      <c r="I140" s="672">
        <f t="shared" si="48"/>
        <v>0</v>
      </c>
      <c r="J140" s="672">
        <f t="shared" si="48"/>
        <v>0</v>
      </c>
      <c r="K140" s="672">
        <f t="shared" si="48"/>
        <v>0</v>
      </c>
      <c r="L140" s="672">
        <f t="shared" si="48"/>
        <v>0</v>
      </c>
      <c r="M140" s="672">
        <f t="shared" si="48"/>
        <v>0</v>
      </c>
      <c r="N140" s="672">
        <f t="shared" si="48"/>
        <v>0</v>
      </c>
      <c r="O140" s="672">
        <f t="shared" si="48"/>
        <v>0</v>
      </c>
      <c r="P140" s="672"/>
      <c r="Q140" s="672">
        <f t="shared" si="48"/>
        <v>0</v>
      </c>
      <c r="R140" s="672">
        <f t="shared" si="48"/>
        <v>0</v>
      </c>
      <c r="S140" s="672">
        <f t="shared" si="48"/>
        <v>0</v>
      </c>
      <c r="T140" s="672">
        <f t="shared" si="48"/>
        <v>0</v>
      </c>
      <c r="U140" s="672">
        <f t="shared" si="48"/>
        <v>0</v>
      </c>
    </row>
    <row r="141" spans="1:21" s="59" customFormat="1" ht="15.75">
      <c r="A141" s="426"/>
      <c r="B141" s="656"/>
      <c r="C141" s="396"/>
      <c r="D141" s="641"/>
      <c r="E141" s="397"/>
      <c r="F141" s="438"/>
      <c r="G141" s="676"/>
      <c r="H141" s="676"/>
      <c r="I141" s="676"/>
      <c r="J141" s="676"/>
      <c r="K141" s="676"/>
      <c r="L141" s="676"/>
      <c r="M141" s="461"/>
      <c r="N141" s="279"/>
      <c r="O141" s="279"/>
      <c r="P141" s="279"/>
      <c r="Q141" s="279"/>
      <c r="R141" s="279"/>
      <c r="S141" s="462"/>
      <c r="T141" s="462"/>
      <c r="U141" s="454"/>
    </row>
    <row r="142" spans="1:21" s="261" customFormat="1" ht="15.75">
      <c r="A142" s="360" t="s">
        <v>197</v>
      </c>
      <c r="B142" s="611" t="s">
        <v>198</v>
      </c>
      <c r="C142" s="263"/>
      <c r="D142" s="258"/>
      <c r="E142" s="262"/>
      <c r="F142" s="666"/>
      <c r="G142" s="666"/>
      <c r="H142" s="666">
        <f>0.06*H$32</f>
        <v>25.74</v>
      </c>
      <c r="I142" s="666"/>
      <c r="J142" s="666">
        <f>0.025*J$32</f>
        <v>10.725000000000001</v>
      </c>
      <c r="K142" s="666">
        <f>0.06*K$32</f>
        <v>25.74</v>
      </c>
      <c r="L142" s="666">
        <f>0.05*L$32</f>
        <v>42.900000000000006</v>
      </c>
      <c r="M142" s="666">
        <f>0.05*M$32</f>
        <v>21.450000000000003</v>
      </c>
      <c r="N142" s="666"/>
      <c r="O142" s="666"/>
      <c r="P142" s="666"/>
      <c r="Q142" s="666">
        <f>0.02*Q$32</f>
        <v>25.740000000000002</v>
      </c>
      <c r="R142" s="666">
        <f>0.02*R$32</f>
        <v>25.740000000000002</v>
      </c>
      <c r="S142" s="666">
        <f>TRUNC(0.02*S$32)</f>
        <v>0</v>
      </c>
      <c r="T142" s="666">
        <f>TRUNC(0.02*T$32)</f>
        <v>0</v>
      </c>
      <c r="U142" s="666">
        <f>TRUNC(0.02*U$32)</f>
        <v>0</v>
      </c>
    </row>
    <row r="143" spans="1:21" s="369" customFormat="1" ht="15.75">
      <c r="A143" s="433" t="s">
        <v>199</v>
      </c>
      <c r="B143" s="658" t="s">
        <v>99</v>
      </c>
      <c r="C143" s="434"/>
      <c r="D143" s="430" t="s">
        <v>890</v>
      </c>
      <c r="E143" s="435"/>
      <c r="F143" s="438"/>
      <c r="G143" s="676"/>
      <c r="H143" s="681">
        <f>0.3*$H$142</f>
        <v>7.7219999999999995</v>
      </c>
      <c r="I143" s="676"/>
      <c r="J143" s="684">
        <f>0.3*$J$142</f>
        <v>3.2175000000000002</v>
      </c>
      <c r="K143" s="684">
        <f>0.3*$K$142</f>
        <v>7.7219999999999995</v>
      </c>
      <c r="L143" s="681">
        <f>0.4*$L$142</f>
        <v>17.160000000000004</v>
      </c>
      <c r="M143" s="681">
        <f>0.4*$M$142</f>
        <v>8.5800000000000018</v>
      </c>
      <c r="N143" s="461"/>
      <c r="O143" s="461"/>
      <c r="P143" s="461"/>
      <c r="Q143" s="677"/>
      <c r="R143" s="677"/>
      <c r="S143" s="463"/>
      <c r="T143" s="463"/>
      <c r="U143" s="441"/>
    </row>
    <row r="144" spans="1:21" s="47" customFormat="1" ht="15.75">
      <c r="A144" s="433" t="s">
        <v>200</v>
      </c>
      <c r="B144" s="658" t="s">
        <v>135</v>
      </c>
      <c r="C144" s="396"/>
      <c r="D144" s="641" t="s">
        <v>890</v>
      </c>
      <c r="E144" s="397"/>
      <c r="F144" s="438"/>
      <c r="G144" s="676"/>
      <c r="H144" s="681">
        <f t="shared" ref="H144" si="49">0.3*$H$142</f>
        <v>7.7219999999999995</v>
      </c>
      <c r="I144" s="676"/>
      <c r="J144" s="684">
        <f t="shared" ref="J144" si="50">0.3*$J$142</f>
        <v>3.2175000000000002</v>
      </c>
      <c r="K144" s="684">
        <f t="shared" ref="K144" si="51">0.3*$K$142</f>
        <v>7.7219999999999995</v>
      </c>
      <c r="L144" s="681">
        <f>0.3*$L$142</f>
        <v>12.870000000000001</v>
      </c>
      <c r="M144" s="681">
        <f>0.3*$M$142</f>
        <v>6.4350000000000005</v>
      </c>
      <c r="N144" s="279"/>
      <c r="O144" s="279"/>
      <c r="P144" s="279"/>
      <c r="Q144" s="678"/>
      <c r="R144" s="678"/>
      <c r="S144" s="462"/>
      <c r="T144" s="462"/>
      <c r="U144" s="454"/>
    </row>
    <row r="145" spans="1:21" s="59" customFormat="1" ht="15.75">
      <c r="A145" s="433" t="s">
        <v>201</v>
      </c>
      <c r="B145" s="656" t="s">
        <v>105</v>
      </c>
      <c r="C145" s="396"/>
      <c r="D145" s="641" t="s">
        <v>890</v>
      </c>
      <c r="E145" s="397"/>
      <c r="F145" s="691"/>
      <c r="G145" s="681"/>
      <c r="H145" s="681">
        <f>0.4*$H$142</f>
        <v>10.295999999999999</v>
      </c>
      <c r="I145" s="681"/>
      <c r="J145" s="684">
        <f>0.4*$J$142</f>
        <v>4.2900000000000009</v>
      </c>
      <c r="K145" s="684">
        <f>0.4*$K$142</f>
        <v>10.295999999999999</v>
      </c>
      <c r="L145" s="681">
        <f>0.3*$L$142</f>
        <v>12.870000000000001</v>
      </c>
      <c r="M145" s="681">
        <f>0.3*$M$142</f>
        <v>6.4350000000000005</v>
      </c>
      <c r="N145" s="678"/>
      <c r="O145" s="678"/>
      <c r="P145" s="678"/>
      <c r="Q145" s="678">
        <f>1*Q142</f>
        <v>25.740000000000002</v>
      </c>
      <c r="R145" s="678">
        <f>1*R142</f>
        <v>25.740000000000002</v>
      </c>
      <c r="S145" s="327"/>
      <c r="T145" s="327"/>
      <c r="U145" s="454"/>
    </row>
    <row r="146" spans="1:21" s="59" customFormat="1" ht="15.75">
      <c r="A146" s="426"/>
      <c r="B146" s="656"/>
      <c r="C146" s="396"/>
      <c r="D146" s="641"/>
      <c r="E146" s="397"/>
      <c r="F146" s="672">
        <f t="shared" ref="F146:T146" si="52">F142-SUM(F143:F145)</f>
        <v>0</v>
      </c>
      <c r="G146" s="672">
        <f t="shared" si="52"/>
        <v>0</v>
      </c>
      <c r="H146" s="672">
        <f t="shared" si="52"/>
        <v>0</v>
      </c>
      <c r="I146" s="672">
        <f t="shared" si="52"/>
        <v>0</v>
      </c>
      <c r="J146" s="672">
        <f t="shared" si="52"/>
        <v>0</v>
      </c>
      <c r="K146" s="672">
        <f t="shared" si="52"/>
        <v>0</v>
      </c>
      <c r="L146" s="672">
        <f t="shared" si="52"/>
        <v>0</v>
      </c>
      <c r="M146" s="672">
        <f t="shared" si="52"/>
        <v>0</v>
      </c>
      <c r="N146" s="672">
        <f t="shared" si="52"/>
        <v>0</v>
      </c>
      <c r="O146" s="672">
        <f t="shared" si="52"/>
        <v>0</v>
      </c>
      <c r="P146" s="672"/>
      <c r="Q146" s="672">
        <f t="shared" si="52"/>
        <v>0</v>
      </c>
      <c r="R146" s="672">
        <f t="shared" si="52"/>
        <v>0</v>
      </c>
      <c r="S146" s="672">
        <f t="shared" si="52"/>
        <v>0</v>
      </c>
      <c r="T146" s="672">
        <f t="shared" si="52"/>
        <v>0</v>
      </c>
      <c r="U146" s="454"/>
    </row>
    <row r="147" spans="1:21" s="59" customFormat="1" ht="15.75">
      <c r="A147" s="769"/>
      <c r="B147" s="656"/>
      <c r="C147" s="404"/>
      <c r="D147" s="641"/>
      <c r="E147" s="405"/>
      <c r="F147" s="690"/>
      <c r="G147" s="679"/>
      <c r="H147" s="679"/>
      <c r="I147" s="679"/>
      <c r="J147" s="679"/>
      <c r="K147" s="679"/>
      <c r="L147" s="679"/>
      <c r="M147" s="679"/>
      <c r="N147" s="679"/>
      <c r="O147" s="679"/>
      <c r="P147" s="679"/>
      <c r="Q147" s="679"/>
      <c r="R147" s="679"/>
      <c r="S147" s="442"/>
      <c r="T147" s="442"/>
      <c r="U147" s="454"/>
    </row>
    <row r="148" spans="1:21" s="230" customFormat="1" ht="15.75">
      <c r="A148" s="361" t="s">
        <v>202</v>
      </c>
      <c r="B148" s="613" t="s">
        <v>203</v>
      </c>
      <c r="C148" s="376"/>
      <c r="D148" s="227"/>
      <c r="E148" s="228"/>
      <c r="F148" s="666">
        <f>0.01*F$32</f>
        <v>9.7240000000000002</v>
      </c>
      <c r="G148" s="666">
        <f>0.02*G$32</f>
        <v>8.58</v>
      </c>
      <c r="H148" s="666">
        <f>0.01*H$32</f>
        <v>4.29</v>
      </c>
      <c r="I148" s="666"/>
      <c r="J148" s="666"/>
      <c r="K148" s="666">
        <f>0.01*K$32</f>
        <v>4.29</v>
      </c>
      <c r="L148" s="666">
        <f>0.1*L$32</f>
        <v>85.800000000000011</v>
      </c>
      <c r="M148" s="666">
        <f>0.02*M$32</f>
        <v>8.58</v>
      </c>
      <c r="N148" s="666"/>
      <c r="O148" s="666"/>
      <c r="P148" s="666"/>
      <c r="Q148" s="666">
        <f>0.02*Q$32</f>
        <v>25.740000000000002</v>
      </c>
      <c r="R148" s="666">
        <f>0.02*R$32</f>
        <v>25.740000000000002</v>
      </c>
      <c r="S148" s="666">
        <f>TRUNC(0.02*S$32)</f>
        <v>0</v>
      </c>
      <c r="T148" s="666">
        <f>TRUNC(0.02*T$32)</f>
        <v>0</v>
      </c>
      <c r="U148" s="666">
        <f>TRUNC(0.02*U$32)</f>
        <v>0</v>
      </c>
    </row>
    <row r="149" spans="1:21" s="369" customFormat="1" ht="15.75">
      <c r="A149" s="657" t="s">
        <v>204</v>
      </c>
      <c r="B149" s="658" t="s">
        <v>99</v>
      </c>
      <c r="C149" s="429"/>
      <c r="D149" s="430" t="s">
        <v>890</v>
      </c>
      <c r="E149" s="431"/>
      <c r="F149" s="681">
        <f>0.4*$F$148</f>
        <v>3.8896000000000002</v>
      </c>
      <c r="G149" s="681">
        <f>0.4*$G$148</f>
        <v>3.4320000000000004</v>
      </c>
      <c r="H149" s="681">
        <f>0.5*$H$148</f>
        <v>2.145</v>
      </c>
      <c r="I149" s="679"/>
      <c r="J149" s="679"/>
      <c r="K149" s="688">
        <f>0.5*$K$148</f>
        <v>2.145</v>
      </c>
      <c r="L149" s="687">
        <f>0.3*$L$148</f>
        <v>25.740000000000002</v>
      </c>
      <c r="M149" s="688">
        <f>0.4*$M$148</f>
        <v>3.4320000000000004</v>
      </c>
      <c r="N149" s="679"/>
      <c r="O149" s="679"/>
      <c r="P149" s="679"/>
      <c r="Q149" s="677"/>
      <c r="R149" s="677"/>
      <c r="S149" s="442"/>
      <c r="T149" s="442"/>
      <c r="U149" s="441"/>
    </row>
    <row r="150" spans="1:21" s="59" customFormat="1" ht="15.75">
      <c r="A150" s="657" t="s">
        <v>205</v>
      </c>
      <c r="B150" s="656" t="s">
        <v>135</v>
      </c>
      <c r="C150" s="404"/>
      <c r="D150" s="641" t="s">
        <v>890</v>
      </c>
      <c r="E150" s="405"/>
      <c r="F150" s="681">
        <f>0.3*$F$148</f>
        <v>2.9171999999999998</v>
      </c>
      <c r="G150" s="681">
        <f>0.3*$G$148</f>
        <v>2.5739999999999998</v>
      </c>
      <c r="H150" s="681">
        <f>0.5*$H$148</f>
        <v>2.145</v>
      </c>
      <c r="I150" s="681"/>
      <c r="J150" s="681"/>
      <c r="K150" s="688"/>
      <c r="L150" s="687">
        <f>0.3*$L$148</f>
        <v>25.740000000000002</v>
      </c>
      <c r="M150" s="688">
        <f>0.3*$M$148</f>
        <v>2.5739999999999998</v>
      </c>
      <c r="N150" s="681"/>
      <c r="O150" s="681"/>
      <c r="P150" s="681"/>
      <c r="Q150" s="681"/>
      <c r="R150" s="678"/>
      <c r="S150" s="442"/>
      <c r="T150" s="442"/>
      <c r="U150" s="454"/>
    </row>
    <row r="151" spans="1:21" s="59" customFormat="1" ht="15.75">
      <c r="A151" s="657" t="s">
        <v>206</v>
      </c>
      <c r="B151" s="656" t="s">
        <v>105</v>
      </c>
      <c r="C151" s="396"/>
      <c r="D151" s="641" t="s">
        <v>890</v>
      </c>
      <c r="E151" s="397"/>
      <c r="F151" s="681">
        <f>0.3*$F$148</f>
        <v>2.9171999999999998</v>
      </c>
      <c r="G151" s="681">
        <f>0.3*$G$148</f>
        <v>2.5739999999999998</v>
      </c>
      <c r="H151" s="681"/>
      <c r="I151" s="681"/>
      <c r="J151" s="681"/>
      <c r="K151" s="688">
        <f>0.5*$K$148</f>
        <v>2.145</v>
      </c>
      <c r="L151" s="687">
        <f>0.4*$L$148</f>
        <v>34.320000000000007</v>
      </c>
      <c r="M151" s="688">
        <f>0.3*$M$148</f>
        <v>2.5739999999999998</v>
      </c>
      <c r="N151" s="681"/>
      <c r="O151" s="681"/>
      <c r="P151" s="681"/>
      <c r="Q151" s="681">
        <f>1*Q148</f>
        <v>25.740000000000002</v>
      </c>
      <c r="R151" s="681">
        <f>1*R148</f>
        <v>25.740000000000002</v>
      </c>
      <c r="S151" s="327"/>
      <c r="T151" s="327"/>
      <c r="U151" s="454"/>
    </row>
    <row r="152" spans="1:21" s="59" customFormat="1" ht="15.75">
      <c r="A152" s="426"/>
      <c r="B152" s="656"/>
      <c r="C152" s="396"/>
      <c r="D152" s="641"/>
      <c r="E152" s="397"/>
      <c r="F152" s="672">
        <f t="shared" ref="F152:U152" si="53">F148-SUM(F149:F151)</f>
        <v>0</v>
      </c>
      <c r="G152" s="672">
        <f t="shared" si="53"/>
        <v>0</v>
      </c>
      <c r="H152" s="672">
        <f t="shared" si="53"/>
        <v>0</v>
      </c>
      <c r="I152" s="672">
        <f t="shared" si="53"/>
        <v>0</v>
      </c>
      <c r="J152" s="672">
        <f t="shared" si="53"/>
        <v>0</v>
      </c>
      <c r="K152" s="672">
        <f t="shared" si="53"/>
        <v>0</v>
      </c>
      <c r="L152" s="672">
        <f t="shared" si="53"/>
        <v>0</v>
      </c>
      <c r="M152" s="672">
        <f t="shared" si="53"/>
        <v>0</v>
      </c>
      <c r="N152" s="672">
        <f t="shared" si="53"/>
        <v>0</v>
      </c>
      <c r="O152" s="672">
        <f t="shared" si="53"/>
        <v>0</v>
      </c>
      <c r="P152" s="672"/>
      <c r="Q152" s="672">
        <f t="shared" si="53"/>
        <v>0</v>
      </c>
      <c r="R152" s="672">
        <f t="shared" si="53"/>
        <v>0</v>
      </c>
      <c r="S152" s="672">
        <f t="shared" si="53"/>
        <v>0</v>
      </c>
      <c r="T152" s="672">
        <f t="shared" si="53"/>
        <v>0</v>
      </c>
      <c r="U152" s="672">
        <f t="shared" si="53"/>
        <v>0</v>
      </c>
    </row>
    <row r="153" spans="1:21" s="59" customFormat="1" ht="15.75">
      <c r="A153" s="769"/>
      <c r="B153" s="656"/>
      <c r="C153" s="404"/>
      <c r="D153" s="641"/>
      <c r="E153" s="405"/>
      <c r="F153" s="690"/>
      <c r="G153" s="679"/>
      <c r="H153" s="679"/>
      <c r="I153" s="679"/>
      <c r="J153" s="679"/>
      <c r="K153" s="679"/>
      <c r="L153" s="679"/>
      <c r="M153" s="679"/>
      <c r="N153" s="679"/>
      <c r="O153" s="679"/>
      <c r="P153" s="679"/>
      <c r="Q153" s="679"/>
      <c r="R153" s="679"/>
      <c r="S153" s="442"/>
      <c r="T153" s="442"/>
      <c r="U153" s="454"/>
    </row>
    <row r="154" spans="1:21" s="230" customFormat="1" ht="15.75">
      <c r="A154" s="361" t="s">
        <v>207</v>
      </c>
      <c r="B154" s="659" t="s">
        <v>208</v>
      </c>
      <c r="C154" s="376"/>
      <c r="D154" s="227"/>
      <c r="E154" s="228"/>
      <c r="F154" s="666"/>
      <c r="G154" s="666"/>
      <c r="H154" s="666">
        <f>0.01*H$32</f>
        <v>4.29</v>
      </c>
      <c r="I154" s="666"/>
      <c r="J154" s="666"/>
      <c r="K154" s="666">
        <f>0.01*K$32</f>
        <v>4.29</v>
      </c>
      <c r="L154" s="666">
        <f>0.05*L$32</f>
        <v>42.900000000000006</v>
      </c>
      <c r="M154" s="666">
        <f>0.1*M$32</f>
        <v>42.900000000000006</v>
      </c>
      <c r="N154" s="666"/>
      <c r="O154" s="666"/>
      <c r="P154" s="666"/>
      <c r="Q154" s="666"/>
      <c r="R154" s="666"/>
      <c r="S154" s="666">
        <f>TRUNC(0.02*S$32)</f>
        <v>0</v>
      </c>
      <c r="T154" s="666">
        <f>TRUNC(0.02*T$32)</f>
        <v>0</v>
      </c>
      <c r="U154" s="666">
        <f>TRUNC(0.02*U$32)</f>
        <v>0</v>
      </c>
    </row>
    <row r="155" spans="1:21" s="369" customFormat="1" ht="15.75">
      <c r="A155" s="657" t="s">
        <v>209</v>
      </c>
      <c r="B155" s="658" t="s">
        <v>99</v>
      </c>
      <c r="C155" s="429"/>
      <c r="D155" s="430" t="s">
        <v>890</v>
      </c>
      <c r="E155" s="431"/>
      <c r="F155" s="681"/>
      <c r="G155" s="681"/>
      <c r="H155" s="681">
        <f>0.5*$H$154</f>
        <v>2.145</v>
      </c>
      <c r="I155" s="681"/>
      <c r="J155" s="681"/>
      <c r="K155" s="681">
        <f>0.5*$K$154</f>
        <v>2.145</v>
      </c>
      <c r="L155" s="681">
        <f>0.2*$L$154</f>
        <v>8.5800000000000018</v>
      </c>
      <c r="M155" s="681">
        <f>0.2*$M$154</f>
        <v>8.5800000000000018</v>
      </c>
      <c r="N155" s="681"/>
      <c r="O155" s="681"/>
      <c r="P155" s="681"/>
      <c r="Q155" s="677"/>
      <c r="R155" s="677"/>
      <c r="S155" s="442"/>
      <c r="T155" s="442"/>
      <c r="U155" s="441"/>
    </row>
    <row r="156" spans="1:21" s="59" customFormat="1" ht="15.75">
      <c r="A156" s="657" t="s">
        <v>210</v>
      </c>
      <c r="B156" s="658" t="s">
        <v>135</v>
      </c>
      <c r="C156" s="404"/>
      <c r="D156" s="641" t="s">
        <v>890</v>
      </c>
      <c r="E156" s="405"/>
      <c r="F156" s="681"/>
      <c r="G156" s="681"/>
      <c r="H156" s="681"/>
      <c r="I156" s="681"/>
      <c r="J156" s="681"/>
      <c r="K156" s="681"/>
      <c r="L156" s="681">
        <f>0.2*$L$154</f>
        <v>8.5800000000000018</v>
      </c>
      <c r="M156" s="681">
        <f>0.2*$M$154</f>
        <v>8.5800000000000018</v>
      </c>
      <c r="N156" s="681"/>
      <c r="O156" s="681"/>
      <c r="P156" s="681"/>
      <c r="Q156" s="678"/>
      <c r="R156" s="678"/>
      <c r="S156" s="442"/>
      <c r="T156" s="442"/>
      <c r="U156" s="454"/>
    </row>
    <row r="157" spans="1:21" s="59" customFormat="1" ht="15.75">
      <c r="A157" s="657" t="s">
        <v>211</v>
      </c>
      <c r="B157" s="656" t="s">
        <v>105</v>
      </c>
      <c r="C157" s="396"/>
      <c r="D157" s="641" t="s">
        <v>890</v>
      </c>
      <c r="E157" s="397"/>
      <c r="F157" s="681"/>
      <c r="G157" s="681"/>
      <c r="H157" s="681"/>
      <c r="I157" s="681"/>
      <c r="J157" s="681"/>
      <c r="K157" s="681">
        <f>0.5*$K$154</f>
        <v>2.145</v>
      </c>
      <c r="L157" s="681">
        <f>0.2*$L$154</f>
        <v>8.5800000000000018</v>
      </c>
      <c r="M157" s="681">
        <f>0.2*$M$154</f>
        <v>8.5800000000000018</v>
      </c>
      <c r="N157" s="681"/>
      <c r="O157" s="681"/>
      <c r="P157" s="681"/>
      <c r="Q157" s="678"/>
      <c r="R157" s="678"/>
      <c r="S157" s="327"/>
      <c r="T157" s="327"/>
      <c r="U157" s="454"/>
    </row>
    <row r="158" spans="1:21" s="59" customFormat="1" ht="15.75">
      <c r="A158" s="657" t="s">
        <v>212</v>
      </c>
      <c r="B158" s="656" t="s">
        <v>213</v>
      </c>
      <c r="C158" s="404"/>
      <c r="D158" s="641" t="s">
        <v>890</v>
      </c>
      <c r="E158" s="405"/>
      <c r="F158" s="681"/>
      <c r="G158" s="681"/>
      <c r="H158" s="681">
        <f>0.5*$H$154</f>
        <v>2.145</v>
      </c>
      <c r="I158" s="681"/>
      <c r="J158" s="681"/>
      <c r="K158" s="681"/>
      <c r="L158" s="681">
        <f>0.2*$L$154</f>
        <v>8.5800000000000018</v>
      </c>
      <c r="M158" s="681">
        <f>0.2*$M$154</f>
        <v>8.5800000000000018</v>
      </c>
      <c r="N158" s="681"/>
      <c r="O158" s="681"/>
      <c r="P158" s="681"/>
      <c r="Q158" s="679"/>
      <c r="R158" s="679"/>
      <c r="S158" s="442"/>
      <c r="T158" s="442"/>
      <c r="U158" s="454"/>
    </row>
    <row r="159" spans="1:21" s="59" customFormat="1" ht="15.75">
      <c r="A159" s="657" t="s">
        <v>214</v>
      </c>
      <c r="B159" s="656" t="s">
        <v>152</v>
      </c>
      <c r="C159" s="404"/>
      <c r="D159" s="641" t="s">
        <v>890</v>
      </c>
      <c r="E159" s="405"/>
      <c r="F159" s="681"/>
      <c r="G159" s="679"/>
      <c r="H159" s="681"/>
      <c r="I159" s="679"/>
      <c r="J159" s="679"/>
      <c r="K159" s="679"/>
      <c r="L159" s="681">
        <f>0.2*$L$154</f>
        <v>8.5800000000000018</v>
      </c>
      <c r="M159" s="681">
        <f>0.2*$M$154</f>
        <v>8.5800000000000018</v>
      </c>
      <c r="N159" s="679"/>
      <c r="O159" s="679"/>
      <c r="P159" s="679"/>
      <c r="Q159" s="679"/>
      <c r="R159" s="679"/>
      <c r="S159" s="442"/>
      <c r="T159" s="442"/>
      <c r="U159" s="454"/>
    </row>
    <row r="160" spans="1:21" s="59" customFormat="1" ht="15.75">
      <c r="A160" s="426"/>
      <c r="B160" s="656"/>
      <c r="C160" s="396"/>
      <c r="D160" s="641"/>
      <c r="E160" s="397"/>
      <c r="F160" s="672">
        <f t="shared" ref="F160:U160" si="54">F154-SUM(F155:F159)</f>
        <v>0</v>
      </c>
      <c r="G160" s="672">
        <f t="shared" si="54"/>
        <v>0</v>
      </c>
      <c r="H160" s="672">
        <f t="shared" si="54"/>
        <v>0</v>
      </c>
      <c r="I160" s="672">
        <f t="shared" si="54"/>
        <v>0</v>
      </c>
      <c r="J160" s="672">
        <f t="shared" si="54"/>
        <v>0</v>
      </c>
      <c r="K160" s="672">
        <f t="shared" si="54"/>
        <v>0</v>
      </c>
      <c r="L160" s="672">
        <f t="shared" si="54"/>
        <v>0</v>
      </c>
      <c r="M160" s="672">
        <f t="shared" si="54"/>
        <v>0</v>
      </c>
      <c r="N160" s="672">
        <f t="shared" si="54"/>
        <v>0</v>
      </c>
      <c r="O160" s="672">
        <f t="shared" si="54"/>
        <v>0</v>
      </c>
      <c r="P160" s="672"/>
      <c r="Q160" s="672">
        <f t="shared" si="54"/>
        <v>0</v>
      </c>
      <c r="R160" s="672">
        <f t="shared" si="54"/>
        <v>0</v>
      </c>
      <c r="S160" s="672">
        <f t="shared" si="54"/>
        <v>0</v>
      </c>
      <c r="T160" s="672">
        <f t="shared" si="54"/>
        <v>0</v>
      </c>
      <c r="U160" s="672">
        <f t="shared" si="54"/>
        <v>0</v>
      </c>
    </row>
    <row r="161" spans="1:21" s="59" customFormat="1" ht="15.75">
      <c r="A161" s="769"/>
      <c r="B161" s="656"/>
      <c r="C161" s="404"/>
      <c r="D161" s="641"/>
      <c r="E161" s="405"/>
      <c r="F161" s="690"/>
      <c r="G161" s="679"/>
      <c r="H161" s="679"/>
      <c r="I161" s="679"/>
      <c r="J161" s="679"/>
      <c r="K161" s="679"/>
      <c r="L161" s="679"/>
      <c r="M161" s="679"/>
      <c r="N161" s="679"/>
      <c r="O161" s="679"/>
      <c r="P161" s="679"/>
      <c r="Q161" s="679"/>
      <c r="R161" s="679"/>
      <c r="S161" s="442"/>
      <c r="T161" s="442"/>
      <c r="U161" s="454"/>
    </row>
    <row r="162" spans="1:21" s="230" customFormat="1" ht="15.75">
      <c r="A162" s="361" t="s">
        <v>215</v>
      </c>
      <c r="B162" s="659" t="s">
        <v>216</v>
      </c>
      <c r="C162" s="376"/>
      <c r="D162" s="227"/>
      <c r="E162" s="228"/>
      <c r="F162" s="666"/>
      <c r="G162" s="666"/>
      <c r="H162" s="666">
        <f>0.01*H$32</f>
        <v>4.29</v>
      </c>
      <c r="I162" s="666"/>
      <c r="J162" s="666"/>
      <c r="K162" s="666">
        <f>0.01*K$32</f>
        <v>4.29</v>
      </c>
      <c r="L162" s="666">
        <f>0.01*L$32</f>
        <v>8.58</v>
      </c>
      <c r="M162" s="666">
        <f>0.05*M$32</f>
        <v>21.450000000000003</v>
      </c>
      <c r="N162" s="666"/>
      <c r="O162" s="666"/>
      <c r="P162" s="666"/>
      <c r="Q162" s="666">
        <f>0.02*Q$32</f>
        <v>25.740000000000002</v>
      </c>
      <c r="R162" s="666">
        <f>0.02*R$32</f>
        <v>25.740000000000002</v>
      </c>
      <c r="S162" s="666">
        <f>TRUNC(0.02*S$32)</f>
        <v>0</v>
      </c>
      <c r="T162" s="666">
        <f>TRUNC(0.02*T$32)</f>
        <v>0</v>
      </c>
      <c r="U162" s="666">
        <f>TRUNC(0.02*U$32)</f>
        <v>0</v>
      </c>
    </row>
    <row r="163" spans="1:21" s="369" customFormat="1" ht="15.75">
      <c r="A163" s="657" t="s">
        <v>217</v>
      </c>
      <c r="B163" s="658" t="s">
        <v>99</v>
      </c>
      <c r="C163" s="429"/>
      <c r="D163" s="430" t="s">
        <v>890</v>
      </c>
      <c r="E163" s="431"/>
      <c r="F163" s="681"/>
      <c r="G163" s="681"/>
      <c r="H163" s="681">
        <f>0.5*$H$162</f>
        <v>2.145</v>
      </c>
      <c r="I163" s="681"/>
      <c r="J163" s="681"/>
      <c r="K163" s="681">
        <f>0.5*$K$162</f>
        <v>2.145</v>
      </c>
      <c r="L163" s="681">
        <f>0.25*$L$162</f>
        <v>2.145</v>
      </c>
      <c r="M163" s="681">
        <f>0.25*$M$162</f>
        <v>5.3625000000000007</v>
      </c>
      <c r="N163" s="681"/>
      <c r="O163" s="681"/>
      <c r="P163" s="681"/>
      <c r="Q163" s="681"/>
      <c r="R163" s="681"/>
      <c r="S163" s="442"/>
      <c r="T163" s="442"/>
      <c r="U163" s="441"/>
    </row>
    <row r="164" spans="1:21" s="59" customFormat="1" ht="15.75">
      <c r="A164" s="657" t="s">
        <v>218</v>
      </c>
      <c r="B164" s="656" t="s">
        <v>101</v>
      </c>
      <c r="C164" s="404"/>
      <c r="D164" s="641" t="s">
        <v>890</v>
      </c>
      <c r="E164" s="405"/>
      <c r="F164" s="681"/>
      <c r="G164" s="681"/>
      <c r="H164" s="681"/>
      <c r="I164" s="681"/>
      <c r="J164" s="681"/>
      <c r="K164" s="681"/>
      <c r="L164" s="681">
        <f>0.25*$L$162</f>
        <v>2.145</v>
      </c>
      <c r="M164" s="681">
        <f>0.25*$M$162</f>
        <v>5.3625000000000007</v>
      </c>
      <c r="N164" s="681"/>
      <c r="O164" s="681"/>
      <c r="P164" s="681"/>
      <c r="Q164" s="681"/>
      <c r="R164" s="681"/>
      <c r="S164" s="442"/>
      <c r="T164" s="442"/>
      <c r="U164" s="454"/>
    </row>
    <row r="165" spans="1:21" s="368" customFormat="1" ht="15.75">
      <c r="A165" s="657" t="s">
        <v>219</v>
      </c>
      <c r="B165" s="656" t="s">
        <v>152</v>
      </c>
      <c r="C165" s="404"/>
      <c r="D165" s="641" t="s">
        <v>890</v>
      </c>
      <c r="E165" s="405"/>
      <c r="F165" s="681"/>
      <c r="G165" s="681"/>
      <c r="H165" s="681"/>
      <c r="I165" s="681"/>
      <c r="J165" s="681"/>
      <c r="K165" s="681"/>
      <c r="L165" s="681">
        <f>0.25*$L$162</f>
        <v>2.145</v>
      </c>
      <c r="M165" s="681">
        <f>0.25*$M$162</f>
        <v>5.3625000000000007</v>
      </c>
      <c r="N165" s="681"/>
      <c r="O165" s="681"/>
      <c r="P165" s="681"/>
      <c r="Q165" s="681"/>
      <c r="R165" s="681"/>
      <c r="S165" s="442"/>
      <c r="T165" s="442"/>
      <c r="U165" s="454"/>
    </row>
    <row r="166" spans="1:21" s="59" customFormat="1" ht="15.75">
      <c r="A166" s="657" t="s">
        <v>220</v>
      </c>
      <c r="B166" s="656" t="s">
        <v>105</v>
      </c>
      <c r="C166" s="396"/>
      <c r="D166" s="641" t="s">
        <v>890</v>
      </c>
      <c r="E166" s="397"/>
      <c r="F166" s="681"/>
      <c r="G166" s="681"/>
      <c r="H166" s="681">
        <f>0.5*$H$162</f>
        <v>2.145</v>
      </c>
      <c r="I166" s="681"/>
      <c r="J166" s="681"/>
      <c r="K166" s="681">
        <f>0.5*$K$162</f>
        <v>2.145</v>
      </c>
      <c r="L166" s="681">
        <f>0.25*$L$162</f>
        <v>2.145</v>
      </c>
      <c r="M166" s="681">
        <f>0.25*$M$162</f>
        <v>5.3625000000000007</v>
      </c>
      <c r="N166" s="681"/>
      <c r="O166" s="681"/>
      <c r="P166" s="681"/>
      <c r="Q166" s="681">
        <f>1*Q162</f>
        <v>25.740000000000002</v>
      </c>
      <c r="R166" s="681">
        <f>1*R162</f>
        <v>25.740000000000002</v>
      </c>
      <c r="S166" s="327"/>
      <c r="T166" s="327"/>
      <c r="U166" s="454"/>
    </row>
    <row r="167" spans="1:21" s="59" customFormat="1" ht="15.75">
      <c r="A167" s="426"/>
      <c r="B167" s="656"/>
      <c r="C167" s="396"/>
      <c r="D167" s="641"/>
      <c r="E167" s="397"/>
      <c r="F167" s="672">
        <f t="shared" ref="F167:U167" si="55">F162-SUM(F163:F166)</f>
        <v>0</v>
      </c>
      <c r="G167" s="672">
        <f t="shared" si="55"/>
        <v>0</v>
      </c>
      <c r="H167" s="672">
        <f t="shared" si="55"/>
        <v>0</v>
      </c>
      <c r="I167" s="672">
        <f t="shared" si="55"/>
        <v>0</v>
      </c>
      <c r="J167" s="672">
        <f t="shared" si="55"/>
        <v>0</v>
      </c>
      <c r="K167" s="672">
        <f t="shared" si="55"/>
        <v>0</v>
      </c>
      <c r="L167" s="672">
        <f t="shared" si="55"/>
        <v>0</v>
      </c>
      <c r="M167" s="672">
        <f t="shared" si="55"/>
        <v>0</v>
      </c>
      <c r="N167" s="672">
        <f t="shared" si="55"/>
        <v>0</v>
      </c>
      <c r="O167" s="672">
        <f t="shared" si="55"/>
        <v>0</v>
      </c>
      <c r="P167" s="672"/>
      <c r="Q167" s="672">
        <f t="shared" si="55"/>
        <v>0</v>
      </c>
      <c r="R167" s="672">
        <f t="shared" si="55"/>
        <v>0</v>
      </c>
      <c r="S167" s="672">
        <f t="shared" si="55"/>
        <v>0</v>
      </c>
      <c r="T167" s="672">
        <f t="shared" si="55"/>
        <v>0</v>
      </c>
      <c r="U167" s="672">
        <f t="shared" si="55"/>
        <v>0</v>
      </c>
    </row>
    <row r="168" spans="1:21" s="59" customFormat="1" ht="15.75">
      <c r="A168" s="769"/>
      <c r="B168" s="656"/>
      <c r="C168" s="404"/>
      <c r="D168" s="641"/>
      <c r="E168" s="405"/>
      <c r="F168" s="690"/>
      <c r="G168" s="679"/>
      <c r="H168" s="679"/>
      <c r="I168" s="679"/>
      <c r="J168" s="679"/>
      <c r="K168" s="679"/>
      <c r="L168" s="679"/>
      <c r="M168" s="679"/>
      <c r="N168" s="679"/>
      <c r="O168" s="679"/>
      <c r="P168" s="679"/>
      <c r="Q168" s="679"/>
      <c r="R168" s="679"/>
      <c r="S168" s="442"/>
      <c r="T168" s="442"/>
      <c r="U168" s="454"/>
    </row>
    <row r="169" spans="1:21" s="230" customFormat="1" ht="15.75">
      <c r="A169" s="361" t="s">
        <v>221</v>
      </c>
      <c r="B169" s="659" t="s">
        <v>222</v>
      </c>
      <c r="C169" s="376"/>
      <c r="D169" s="227"/>
      <c r="E169" s="228"/>
      <c r="F169" s="666">
        <f>0.02*F$32</f>
        <v>19.448</v>
      </c>
      <c r="G169" s="666">
        <f>0.05*G$32</f>
        <v>21.450000000000003</v>
      </c>
      <c r="H169" s="666">
        <f>0.019*H$32</f>
        <v>8.1509999999999998</v>
      </c>
      <c r="I169" s="666"/>
      <c r="J169" s="666"/>
      <c r="K169" s="666">
        <f>0.019*K$32</f>
        <v>8.1509999999999998</v>
      </c>
      <c r="L169" s="666"/>
      <c r="M169" s="666"/>
      <c r="N169" s="666"/>
      <c r="O169" s="666"/>
      <c r="P169" s="666"/>
      <c r="Q169" s="666">
        <f>0.02*Q$32</f>
        <v>25.740000000000002</v>
      </c>
      <c r="R169" s="666">
        <f>0.02*R$32</f>
        <v>25.740000000000002</v>
      </c>
      <c r="S169" s="666">
        <f>TRUNC(0.02*S$32)</f>
        <v>0</v>
      </c>
      <c r="T169" s="666">
        <f>TRUNC(0.02*T$32)</f>
        <v>0</v>
      </c>
      <c r="U169" s="666">
        <f>TRUNC(0.02*U$32)</f>
        <v>0</v>
      </c>
    </row>
    <row r="170" spans="1:21" s="369" customFormat="1" ht="15.75">
      <c r="A170" s="657" t="s">
        <v>223</v>
      </c>
      <c r="B170" s="658" t="s">
        <v>99</v>
      </c>
      <c r="C170" s="429"/>
      <c r="D170" s="430" t="s">
        <v>890</v>
      </c>
      <c r="E170" s="431"/>
      <c r="F170" s="691">
        <f>0.2*$F$169</f>
        <v>3.8896000000000002</v>
      </c>
      <c r="G170" s="691">
        <f>0.2*$G$169</f>
        <v>4.2900000000000009</v>
      </c>
      <c r="H170" s="691">
        <f>0.5*$H$169</f>
        <v>4.0754999999999999</v>
      </c>
      <c r="I170" s="691"/>
      <c r="J170" s="691"/>
      <c r="K170" s="691"/>
      <c r="L170" s="691"/>
      <c r="M170" s="691"/>
      <c r="N170" s="691"/>
      <c r="O170" s="691"/>
      <c r="P170" s="691"/>
      <c r="Q170" s="691"/>
      <c r="R170" s="691"/>
      <c r="S170" s="442"/>
      <c r="T170" s="442"/>
      <c r="U170" s="441"/>
    </row>
    <row r="171" spans="1:21" s="59" customFormat="1" ht="15.75">
      <c r="A171" s="657" t="s">
        <v>224</v>
      </c>
      <c r="B171" s="656" t="s">
        <v>101</v>
      </c>
      <c r="C171" s="404"/>
      <c r="D171" s="641" t="s">
        <v>890</v>
      </c>
      <c r="E171" s="405"/>
      <c r="F171" s="691">
        <f>0.1*$F$169</f>
        <v>1.9448000000000001</v>
      </c>
      <c r="G171" s="691">
        <f>0.1*$G$169</f>
        <v>2.1450000000000005</v>
      </c>
      <c r="H171" s="691"/>
      <c r="I171" s="691"/>
      <c r="J171" s="691"/>
      <c r="K171" s="691"/>
      <c r="L171" s="691"/>
      <c r="M171" s="691"/>
      <c r="N171" s="691"/>
      <c r="O171" s="691"/>
      <c r="P171" s="691"/>
      <c r="Q171" s="691"/>
      <c r="R171" s="691"/>
      <c r="S171" s="442"/>
      <c r="T171" s="442"/>
      <c r="U171" s="454"/>
    </row>
    <row r="172" spans="1:21" s="59" customFormat="1" ht="15.75">
      <c r="A172" s="657" t="s">
        <v>225</v>
      </c>
      <c r="B172" s="656" t="s">
        <v>105</v>
      </c>
      <c r="C172" s="396"/>
      <c r="D172" s="641" t="s">
        <v>890</v>
      </c>
      <c r="E172" s="397"/>
      <c r="F172" s="691">
        <f>0.2*$F$169</f>
        <v>3.8896000000000002</v>
      </c>
      <c r="G172" s="691">
        <f>0.2*$G$169</f>
        <v>4.2900000000000009</v>
      </c>
      <c r="H172" s="691"/>
      <c r="I172" s="691"/>
      <c r="J172" s="691"/>
      <c r="K172" s="691">
        <f>0.5*$K$169</f>
        <v>4.0754999999999999</v>
      </c>
      <c r="L172" s="691"/>
      <c r="M172" s="691"/>
      <c r="N172" s="691"/>
      <c r="O172" s="691"/>
      <c r="P172" s="691"/>
      <c r="Q172" s="691">
        <f>1*Q169</f>
        <v>25.740000000000002</v>
      </c>
      <c r="R172" s="691">
        <f>1*R169</f>
        <v>25.740000000000002</v>
      </c>
      <c r="S172" s="327"/>
      <c r="T172" s="327"/>
      <c r="U172" s="454"/>
    </row>
    <row r="173" spans="1:21" s="59" customFormat="1" ht="15.75">
      <c r="A173" s="657" t="s">
        <v>226</v>
      </c>
      <c r="B173" s="656" t="s">
        <v>213</v>
      </c>
      <c r="C173" s="404"/>
      <c r="D173" s="641" t="s">
        <v>890</v>
      </c>
      <c r="E173" s="405"/>
      <c r="F173" s="691">
        <f>0.2*$F$169</f>
        <v>3.8896000000000002</v>
      </c>
      <c r="G173" s="691">
        <f>0.2*$G$169</f>
        <v>4.2900000000000009</v>
      </c>
      <c r="H173" s="691">
        <f>0.5*$H$169</f>
        <v>4.0754999999999999</v>
      </c>
      <c r="I173" s="691"/>
      <c r="J173" s="691"/>
      <c r="K173" s="691"/>
      <c r="L173" s="691"/>
      <c r="M173" s="691"/>
      <c r="N173" s="691"/>
      <c r="O173" s="691"/>
      <c r="P173" s="691"/>
      <c r="Q173" s="691"/>
      <c r="R173" s="691"/>
      <c r="S173" s="442"/>
      <c r="T173" s="442"/>
      <c r="U173" s="454"/>
    </row>
    <row r="174" spans="1:21" s="59" customFormat="1" ht="15.75">
      <c r="A174" s="657" t="s">
        <v>227</v>
      </c>
      <c r="B174" s="656" t="s">
        <v>152</v>
      </c>
      <c r="C174" s="404"/>
      <c r="D174" s="641" t="s">
        <v>890</v>
      </c>
      <c r="E174" s="405"/>
      <c r="F174" s="691">
        <f>0.1*$F$169</f>
        <v>1.9448000000000001</v>
      </c>
      <c r="G174" s="691">
        <f>0.1*$G$169</f>
        <v>2.1450000000000005</v>
      </c>
      <c r="H174" s="691"/>
      <c r="I174" s="691"/>
      <c r="J174" s="691"/>
      <c r="K174" s="691"/>
      <c r="L174" s="691"/>
      <c r="M174" s="691"/>
      <c r="N174" s="691"/>
      <c r="O174" s="691"/>
      <c r="P174" s="691"/>
      <c r="Q174" s="691"/>
      <c r="R174" s="691"/>
      <c r="S174" s="442"/>
      <c r="T174" s="442"/>
      <c r="U174" s="454"/>
    </row>
    <row r="175" spans="1:21" s="59" customFormat="1" ht="15.75">
      <c r="A175" s="657" t="s">
        <v>228</v>
      </c>
      <c r="B175" s="656" t="s">
        <v>229</v>
      </c>
      <c r="C175" s="404"/>
      <c r="D175" s="641" t="s">
        <v>890</v>
      </c>
      <c r="E175" s="405"/>
      <c r="F175" s="691">
        <f>0.2*$F$169</f>
        <v>3.8896000000000002</v>
      </c>
      <c r="G175" s="691">
        <f>0.2*$G$169</f>
        <v>4.2900000000000009</v>
      </c>
      <c r="H175" s="691"/>
      <c r="I175" s="691"/>
      <c r="J175" s="691"/>
      <c r="K175" s="691">
        <f>0.5*$K$169</f>
        <v>4.0754999999999999</v>
      </c>
      <c r="L175" s="691"/>
      <c r="M175" s="691"/>
      <c r="N175" s="691"/>
      <c r="O175" s="691"/>
      <c r="P175" s="691"/>
      <c r="Q175" s="691"/>
      <c r="R175" s="691"/>
      <c r="S175" s="442"/>
      <c r="T175" s="442"/>
      <c r="U175" s="454"/>
    </row>
    <row r="176" spans="1:21" s="59" customFormat="1" ht="15.75">
      <c r="A176" s="769"/>
      <c r="B176" s="656"/>
      <c r="C176" s="404"/>
      <c r="D176" s="641"/>
      <c r="E176" s="405"/>
      <c r="F176" s="664">
        <f t="shared" ref="F176:U176" si="56">F169-SUM(F170:F175)</f>
        <v>0</v>
      </c>
      <c r="G176" s="664">
        <f t="shared" si="56"/>
        <v>0</v>
      </c>
      <c r="H176" s="664">
        <f>H169-SUM(H170:H175)</f>
        <v>0</v>
      </c>
      <c r="I176" s="664">
        <f>I169-SUM(I170:I175)</f>
        <v>0</v>
      </c>
      <c r="J176" s="664">
        <f>J169-SUM(J170:J175)</f>
        <v>0</v>
      </c>
      <c r="K176" s="664">
        <f>K169-SUM(K170:K175)</f>
        <v>0</v>
      </c>
      <c r="L176" s="664">
        <f>L169-SUM(L170:L175)</f>
        <v>0</v>
      </c>
      <c r="M176" s="664">
        <f t="shared" si="56"/>
        <v>0</v>
      </c>
      <c r="N176" s="664">
        <f t="shared" si="56"/>
        <v>0</v>
      </c>
      <c r="O176" s="664">
        <f t="shared" si="56"/>
        <v>0</v>
      </c>
      <c r="P176" s="664"/>
      <c r="Q176" s="664">
        <f t="shared" si="56"/>
        <v>0</v>
      </c>
      <c r="R176" s="664">
        <f t="shared" si="56"/>
        <v>0</v>
      </c>
      <c r="S176" s="664">
        <f t="shared" si="56"/>
        <v>0</v>
      </c>
      <c r="T176" s="664">
        <f t="shared" si="56"/>
        <v>0</v>
      </c>
      <c r="U176" s="664">
        <f t="shared" si="56"/>
        <v>0</v>
      </c>
    </row>
    <row r="177" spans="1:21" s="59" customFormat="1" ht="15.75">
      <c r="A177" s="769"/>
      <c r="B177" s="656"/>
      <c r="C177" s="404"/>
      <c r="D177" s="641"/>
      <c r="E177" s="405"/>
      <c r="F177" s="690"/>
      <c r="G177" s="679"/>
      <c r="H177" s="679"/>
      <c r="I177" s="679"/>
      <c r="J177" s="679"/>
      <c r="K177" s="679"/>
      <c r="L177" s="679"/>
      <c r="M177" s="679"/>
      <c r="N177" s="679"/>
      <c r="O177" s="679"/>
      <c r="P177" s="679"/>
      <c r="Q177" s="679"/>
      <c r="R177" s="679"/>
      <c r="S177" s="442"/>
      <c r="T177" s="442"/>
      <c r="U177" s="454"/>
    </row>
    <row r="178" spans="1:21" s="401" customFormat="1" ht="15.75">
      <c r="A178" s="417" t="s">
        <v>230</v>
      </c>
      <c r="B178" s="693" t="s">
        <v>231</v>
      </c>
      <c r="C178" s="427"/>
      <c r="D178" s="398"/>
      <c r="E178" s="399"/>
      <c r="F178" s="669">
        <f>0.14*F$32</f>
        <v>136.136</v>
      </c>
      <c r="G178" s="669">
        <f>0.08*G$32</f>
        <v>34.32</v>
      </c>
      <c r="H178" s="669">
        <f>0.16*H$32</f>
        <v>68.64</v>
      </c>
      <c r="I178" s="669"/>
      <c r="J178" s="669"/>
      <c r="K178" s="669">
        <f>0.16*K$32</f>
        <v>68.64</v>
      </c>
      <c r="L178" s="669"/>
      <c r="M178" s="669"/>
      <c r="N178" s="669"/>
      <c r="O178" s="669"/>
      <c r="P178" s="669"/>
      <c r="Q178" s="669">
        <f>0.02*Q$32</f>
        <v>25.740000000000002</v>
      </c>
      <c r="R178" s="669">
        <f>0.02*R$32</f>
        <v>25.740000000000002</v>
      </c>
      <c r="S178" s="669">
        <f>TRUNC(0.02*S$32)</f>
        <v>0</v>
      </c>
      <c r="T178" s="669">
        <f>TRUNC(0.02*T$32)</f>
        <v>0</v>
      </c>
      <c r="U178" s="669">
        <f>TRUNC(0.02*U$32)</f>
        <v>0</v>
      </c>
    </row>
    <row r="179" spans="1:21" s="369" customFormat="1" ht="15.75">
      <c r="A179" s="657" t="s">
        <v>232</v>
      </c>
      <c r="B179" s="658" t="s">
        <v>99</v>
      </c>
      <c r="C179" s="429"/>
      <c r="D179" s="430" t="s">
        <v>890</v>
      </c>
      <c r="E179" s="431"/>
      <c r="F179" s="681">
        <f>0.2*$F$178</f>
        <v>27.2272</v>
      </c>
      <c r="G179" s="681">
        <f>0.2*$G$178</f>
        <v>6.8640000000000008</v>
      </c>
      <c r="H179" s="681">
        <f>0.25*$H$178</f>
        <v>17.16</v>
      </c>
      <c r="I179" s="679"/>
      <c r="J179" s="679"/>
      <c r="K179" s="679">
        <f>0.5*K178</f>
        <v>34.32</v>
      </c>
      <c r="L179" s="679"/>
      <c r="M179" s="679"/>
      <c r="N179" s="679"/>
      <c r="O179" s="679"/>
      <c r="P179" s="679"/>
      <c r="Q179" s="677"/>
      <c r="R179" s="677"/>
      <c r="S179" s="442"/>
      <c r="T179" s="442"/>
      <c r="U179" s="441"/>
    </row>
    <row r="180" spans="1:21" s="59" customFormat="1" ht="15.75">
      <c r="A180" s="657" t="s">
        <v>233</v>
      </c>
      <c r="B180" s="656" t="s">
        <v>101</v>
      </c>
      <c r="C180" s="404"/>
      <c r="D180" s="641" t="s">
        <v>890</v>
      </c>
      <c r="E180" s="405"/>
      <c r="F180" s="681">
        <f>0.2*$F$178</f>
        <v>27.2272</v>
      </c>
      <c r="G180" s="681">
        <f>0.2*$G$178</f>
        <v>6.8640000000000008</v>
      </c>
      <c r="H180" s="681"/>
      <c r="I180" s="679"/>
      <c r="J180" s="679"/>
      <c r="K180" s="679"/>
      <c r="L180" s="679"/>
      <c r="M180" s="679"/>
      <c r="N180" s="679"/>
      <c r="O180" s="679"/>
      <c r="P180" s="679"/>
      <c r="Q180" s="440"/>
      <c r="R180" s="440"/>
      <c r="S180" s="442"/>
      <c r="T180" s="442"/>
      <c r="U180" s="454"/>
    </row>
    <row r="181" spans="1:21" s="59" customFormat="1" ht="15.75">
      <c r="A181" s="657" t="s">
        <v>234</v>
      </c>
      <c r="B181" s="656" t="s">
        <v>105</v>
      </c>
      <c r="C181" s="396"/>
      <c r="D181" s="641" t="s">
        <v>890</v>
      </c>
      <c r="E181" s="397"/>
      <c r="F181" s="681">
        <f>0.2*$F$178</f>
        <v>27.2272</v>
      </c>
      <c r="G181" s="681">
        <f>0.2*$G$178</f>
        <v>6.8640000000000008</v>
      </c>
      <c r="H181" s="681">
        <f>0.5*$H$178</f>
        <v>34.32</v>
      </c>
      <c r="I181" s="681"/>
      <c r="J181" s="681"/>
      <c r="K181" s="688">
        <f>0.5*$K$178</f>
        <v>34.32</v>
      </c>
      <c r="L181" s="681"/>
      <c r="M181" s="677"/>
      <c r="N181" s="678"/>
      <c r="O181" s="678"/>
      <c r="P181" s="678"/>
      <c r="Q181" s="678">
        <f>1*Q178</f>
        <v>25.740000000000002</v>
      </c>
      <c r="R181" s="678">
        <f>1*R178</f>
        <v>25.740000000000002</v>
      </c>
      <c r="S181" s="327"/>
      <c r="T181" s="327"/>
      <c r="U181" s="454"/>
    </row>
    <row r="182" spans="1:21" s="59" customFormat="1" ht="15.75">
      <c r="A182" s="657" t="s">
        <v>235</v>
      </c>
      <c r="B182" s="656" t="s">
        <v>213</v>
      </c>
      <c r="C182" s="404"/>
      <c r="D182" s="641" t="s">
        <v>890</v>
      </c>
      <c r="E182" s="405"/>
      <c r="F182" s="681">
        <f>0.2*$F$178</f>
        <v>27.2272</v>
      </c>
      <c r="G182" s="681">
        <f>0.2*$G$178</f>
        <v>6.8640000000000008</v>
      </c>
      <c r="H182" s="681">
        <f t="shared" ref="H182" si="57">0.25*$H$178</f>
        <v>17.16</v>
      </c>
      <c r="I182" s="679"/>
      <c r="J182" s="679"/>
      <c r="K182" s="679"/>
      <c r="L182" s="679"/>
      <c r="M182" s="679"/>
      <c r="N182" s="679"/>
      <c r="O182" s="679"/>
      <c r="P182" s="679"/>
      <c r="Q182" s="679"/>
      <c r="R182" s="679"/>
      <c r="S182" s="442"/>
      <c r="T182" s="442"/>
      <c r="U182" s="454"/>
    </row>
    <row r="183" spans="1:21" s="59" customFormat="1" ht="15.75">
      <c r="A183" s="657" t="s">
        <v>236</v>
      </c>
      <c r="B183" s="656" t="s">
        <v>152</v>
      </c>
      <c r="C183" s="404"/>
      <c r="D183" s="641" t="s">
        <v>890</v>
      </c>
      <c r="E183" s="405"/>
      <c r="F183" s="681">
        <f>0.2*$F$178</f>
        <v>27.2272</v>
      </c>
      <c r="G183" s="681">
        <f>0.2*$G$178</f>
        <v>6.8640000000000008</v>
      </c>
      <c r="H183" s="681"/>
      <c r="I183" s="679"/>
      <c r="J183" s="679"/>
      <c r="K183" s="679"/>
      <c r="L183" s="679"/>
      <c r="M183" s="679"/>
      <c r="N183" s="679"/>
      <c r="O183" s="679"/>
      <c r="P183" s="679"/>
      <c r="Q183" s="679"/>
      <c r="R183" s="679"/>
      <c r="S183" s="442"/>
      <c r="T183" s="442"/>
      <c r="U183" s="454"/>
    </row>
    <row r="184" spans="1:21" s="59" customFormat="1" ht="15.75">
      <c r="A184" s="426"/>
      <c r="B184" s="656"/>
      <c r="C184" s="396"/>
      <c r="D184" s="641"/>
      <c r="E184" s="397"/>
      <c r="F184" s="672">
        <f t="shared" ref="F184:U184" si="58">F178-SUM(F179:F183)</f>
        <v>0</v>
      </c>
      <c r="G184" s="672">
        <f t="shared" si="58"/>
        <v>0</v>
      </c>
      <c r="H184" s="672">
        <f t="shared" si="58"/>
        <v>0</v>
      </c>
      <c r="I184" s="672">
        <f t="shared" si="58"/>
        <v>0</v>
      </c>
      <c r="J184" s="672">
        <f t="shared" si="58"/>
        <v>0</v>
      </c>
      <c r="K184" s="672">
        <f t="shared" si="58"/>
        <v>0</v>
      </c>
      <c r="L184" s="672">
        <f t="shared" si="58"/>
        <v>0</v>
      </c>
      <c r="M184" s="672">
        <f t="shared" si="58"/>
        <v>0</v>
      </c>
      <c r="N184" s="672">
        <f t="shared" si="58"/>
        <v>0</v>
      </c>
      <c r="O184" s="672">
        <f t="shared" si="58"/>
        <v>0</v>
      </c>
      <c r="P184" s="672"/>
      <c r="Q184" s="672">
        <f t="shared" si="58"/>
        <v>0</v>
      </c>
      <c r="R184" s="672">
        <f t="shared" si="58"/>
        <v>0</v>
      </c>
      <c r="S184" s="672">
        <f t="shared" si="58"/>
        <v>0</v>
      </c>
      <c r="T184" s="672">
        <f t="shared" si="58"/>
        <v>0</v>
      </c>
      <c r="U184" s="672">
        <f t="shared" si="58"/>
        <v>0</v>
      </c>
    </row>
    <row r="185" spans="1:21" s="59" customFormat="1" ht="15.75">
      <c r="A185" s="769"/>
      <c r="B185" s="656"/>
      <c r="C185" s="404"/>
      <c r="D185" s="641"/>
      <c r="E185" s="405"/>
      <c r="F185" s="690"/>
      <c r="G185" s="679"/>
      <c r="H185" s="679"/>
      <c r="I185" s="679"/>
      <c r="J185" s="679"/>
      <c r="K185" s="679"/>
      <c r="L185" s="679"/>
      <c r="M185" s="679"/>
      <c r="N185" s="679"/>
      <c r="O185" s="679"/>
      <c r="P185" s="679"/>
      <c r="Q185" s="679"/>
      <c r="R185" s="679"/>
      <c r="S185" s="442"/>
      <c r="T185" s="442"/>
      <c r="U185" s="454"/>
    </row>
    <row r="186" spans="1:21" s="401" customFormat="1" ht="15.75">
      <c r="A186" s="417" t="s">
        <v>237</v>
      </c>
      <c r="B186" s="693" t="s">
        <v>238</v>
      </c>
      <c r="C186" s="427"/>
      <c r="D186" s="398"/>
      <c r="E186" s="399"/>
      <c r="F186" s="669">
        <f>0.08*F$32</f>
        <v>77.792000000000002</v>
      </c>
      <c r="G186" s="669">
        <f>0.07*G$32</f>
        <v>30.03</v>
      </c>
      <c r="H186" s="669">
        <f>0.16*H$32</f>
        <v>68.64</v>
      </c>
      <c r="I186" s="669"/>
      <c r="J186" s="669">
        <f>0.01*J$32</f>
        <v>4.29</v>
      </c>
      <c r="K186" s="669">
        <f>0.16*K$32</f>
        <v>68.64</v>
      </c>
      <c r="L186" s="669"/>
      <c r="M186" s="669"/>
      <c r="N186" s="669"/>
      <c r="O186" s="669"/>
      <c r="P186" s="669">
        <f>0.1*P$32</f>
        <v>11.440000000000001</v>
      </c>
      <c r="Q186" s="669">
        <f>0.02*Q$32</f>
        <v>25.740000000000002</v>
      </c>
      <c r="R186" s="669">
        <f>0.02*R$32</f>
        <v>25.740000000000002</v>
      </c>
      <c r="S186" s="669">
        <f>TRUNC(0.02*S$32)</f>
        <v>0</v>
      </c>
      <c r="T186" s="669">
        <f>TRUNC(0.02*T$32)</f>
        <v>0</v>
      </c>
      <c r="U186" s="669">
        <f>TRUNC(0.02*U$32)</f>
        <v>0</v>
      </c>
    </row>
    <row r="187" spans="1:21" s="369" customFormat="1" ht="15.75">
      <c r="A187" s="657" t="s">
        <v>239</v>
      </c>
      <c r="B187" s="658" t="s">
        <v>99</v>
      </c>
      <c r="C187" s="429"/>
      <c r="D187" s="430" t="s">
        <v>890</v>
      </c>
      <c r="E187" s="431"/>
      <c r="F187" s="681">
        <f>0.3*$F$186</f>
        <v>23.337599999999998</v>
      </c>
      <c r="G187" s="681">
        <f>0.4*$G$186</f>
        <v>12.012</v>
      </c>
      <c r="H187" s="681">
        <f>0.3*$H$186</f>
        <v>20.591999999999999</v>
      </c>
      <c r="I187" s="679"/>
      <c r="J187" s="679"/>
      <c r="K187" s="681">
        <f>0.5*$K$186</f>
        <v>34.32</v>
      </c>
      <c r="L187" s="679"/>
      <c r="M187" s="679"/>
      <c r="N187" s="681"/>
      <c r="O187" s="681"/>
      <c r="P187" s="681">
        <f>0.4*$P$186</f>
        <v>4.5760000000000005</v>
      </c>
      <c r="Q187" s="677"/>
      <c r="R187" s="677"/>
      <c r="S187" s="442"/>
      <c r="T187" s="442"/>
      <c r="U187" s="441"/>
    </row>
    <row r="188" spans="1:21" s="59" customFormat="1" ht="15.75">
      <c r="A188" s="657" t="s">
        <v>240</v>
      </c>
      <c r="B188" s="656" t="s">
        <v>105</v>
      </c>
      <c r="C188" s="396"/>
      <c r="D188" s="641" t="s">
        <v>890</v>
      </c>
      <c r="E188" s="397"/>
      <c r="F188" s="681">
        <f>0.4*$F$186</f>
        <v>31.116800000000001</v>
      </c>
      <c r="G188" s="681">
        <f>0.3*$G$186</f>
        <v>9.0090000000000003</v>
      </c>
      <c r="H188" s="681">
        <f>0.3*$H$186</f>
        <v>20.591999999999999</v>
      </c>
      <c r="I188" s="681"/>
      <c r="J188" s="681">
        <f>1*J186</f>
        <v>4.29</v>
      </c>
      <c r="K188" s="681">
        <f>0.5*$K$186</f>
        <v>34.32</v>
      </c>
      <c r="L188" s="681"/>
      <c r="M188" s="677"/>
      <c r="N188" s="681"/>
      <c r="O188" s="681"/>
      <c r="P188" s="681">
        <f>0.3*$P$186</f>
        <v>3.4320000000000004</v>
      </c>
      <c r="Q188" s="678">
        <f>1*Q186</f>
        <v>25.740000000000002</v>
      </c>
      <c r="R188" s="678">
        <f>1*R186</f>
        <v>25.740000000000002</v>
      </c>
      <c r="S188" s="327"/>
      <c r="T188" s="327"/>
      <c r="U188" s="454"/>
    </row>
    <row r="189" spans="1:21" s="59" customFormat="1" ht="15.75">
      <c r="A189" s="657" t="s">
        <v>241</v>
      </c>
      <c r="B189" s="656" t="s">
        <v>213</v>
      </c>
      <c r="C189" s="404"/>
      <c r="D189" s="641" t="s">
        <v>890</v>
      </c>
      <c r="E189" s="405"/>
      <c r="F189" s="681">
        <f>0.3*$F$186</f>
        <v>23.337599999999998</v>
      </c>
      <c r="G189" s="681">
        <f>0.3*$G$186</f>
        <v>9.0090000000000003</v>
      </c>
      <c r="H189" s="681">
        <f>0.4*$H$186</f>
        <v>27.456000000000003</v>
      </c>
      <c r="I189" s="679"/>
      <c r="J189" s="679"/>
      <c r="K189" s="679"/>
      <c r="L189" s="679"/>
      <c r="M189" s="679"/>
      <c r="N189" s="681"/>
      <c r="O189" s="681"/>
      <c r="P189" s="681">
        <f>0.3*$P$186</f>
        <v>3.4320000000000004</v>
      </c>
      <c r="Q189" s="679"/>
      <c r="R189" s="679"/>
      <c r="S189" s="442"/>
      <c r="T189" s="442"/>
      <c r="U189" s="454"/>
    </row>
    <row r="190" spans="1:21" s="59" customFormat="1" ht="15.75">
      <c r="A190" s="426"/>
      <c r="B190" s="656"/>
      <c r="C190" s="396"/>
      <c r="D190" s="641"/>
      <c r="E190" s="397"/>
      <c r="F190" s="672">
        <f t="shared" ref="F190:U190" si="59">F186-SUM(F187:F189)</f>
        <v>0</v>
      </c>
      <c r="G190" s="672">
        <f t="shared" si="59"/>
        <v>0</v>
      </c>
      <c r="H190" s="672">
        <f t="shared" si="59"/>
        <v>0</v>
      </c>
      <c r="I190" s="672">
        <f t="shared" si="59"/>
        <v>0</v>
      </c>
      <c r="J190" s="672">
        <f t="shared" si="59"/>
        <v>0</v>
      </c>
      <c r="K190" s="672">
        <f t="shared" si="59"/>
        <v>0</v>
      </c>
      <c r="L190" s="672">
        <f t="shared" si="59"/>
        <v>0</v>
      </c>
      <c r="M190" s="672">
        <f t="shared" si="59"/>
        <v>0</v>
      </c>
      <c r="N190" s="672">
        <f t="shared" si="59"/>
        <v>0</v>
      </c>
      <c r="O190" s="672">
        <f t="shared" si="59"/>
        <v>0</v>
      </c>
      <c r="P190" s="672">
        <f t="shared" si="59"/>
        <v>0</v>
      </c>
      <c r="Q190" s="672">
        <f t="shared" si="59"/>
        <v>0</v>
      </c>
      <c r="R190" s="672">
        <f t="shared" si="59"/>
        <v>0</v>
      </c>
      <c r="S190" s="672">
        <f t="shared" si="59"/>
        <v>0</v>
      </c>
      <c r="T190" s="672">
        <f t="shared" si="59"/>
        <v>0</v>
      </c>
      <c r="U190" s="672">
        <f t="shared" si="59"/>
        <v>0</v>
      </c>
    </row>
    <row r="191" spans="1:21" s="59" customFormat="1" ht="15.75">
      <c r="A191" s="769"/>
      <c r="B191" s="656"/>
      <c r="C191" s="404"/>
      <c r="D191" s="641"/>
      <c r="E191" s="405"/>
      <c r="F191" s="690"/>
      <c r="G191" s="679"/>
      <c r="H191" s="679"/>
      <c r="I191" s="679"/>
      <c r="J191" s="679"/>
      <c r="K191" s="679"/>
      <c r="L191" s="679"/>
      <c r="M191" s="679"/>
      <c r="N191" s="679"/>
      <c r="O191" s="679"/>
      <c r="P191" s="679"/>
      <c r="Q191" s="679"/>
      <c r="R191" s="679"/>
      <c r="S191" s="442"/>
      <c r="T191" s="442"/>
      <c r="U191" s="454"/>
    </row>
    <row r="192" spans="1:21" s="230" customFormat="1" ht="15.75">
      <c r="A192" s="361" t="s">
        <v>242</v>
      </c>
      <c r="B192" s="659" t="s">
        <v>243</v>
      </c>
      <c r="C192" s="376"/>
      <c r="D192" s="227"/>
      <c r="E192" s="228"/>
      <c r="F192" s="666">
        <f>0.05*F$32</f>
        <v>48.620000000000005</v>
      </c>
      <c r="G192" s="666">
        <f>0.02*G$32</f>
        <v>8.58</v>
      </c>
      <c r="H192" s="666">
        <f>0.01*H$32</f>
        <v>4.29</v>
      </c>
      <c r="I192" s="666"/>
      <c r="J192" s="666"/>
      <c r="K192" s="666">
        <f>0.01*K$32</f>
        <v>4.29</v>
      </c>
      <c r="L192" s="666"/>
      <c r="M192" s="666"/>
      <c r="N192" s="666"/>
      <c r="O192" s="666"/>
      <c r="P192" s="666">
        <f>0.1*P$32</f>
        <v>11.440000000000001</v>
      </c>
      <c r="Q192" s="666">
        <f>0.02*Q$32</f>
        <v>25.740000000000002</v>
      </c>
      <c r="R192" s="666">
        <f>0.02*R$32</f>
        <v>25.740000000000002</v>
      </c>
      <c r="S192" s="666">
        <f>TRUNC(0.02*S$32)</f>
        <v>0</v>
      </c>
      <c r="T192" s="666">
        <f>TRUNC(0.02*T$32)</f>
        <v>0</v>
      </c>
      <c r="U192" s="666">
        <f>TRUNC(0.02*U$32)</f>
        <v>0</v>
      </c>
    </row>
    <row r="193" spans="1:21" s="369" customFormat="1" ht="15.75">
      <c r="A193" s="657" t="s">
        <v>244</v>
      </c>
      <c r="B193" s="658" t="s">
        <v>99</v>
      </c>
      <c r="C193" s="429"/>
      <c r="D193" s="430" t="s">
        <v>890</v>
      </c>
      <c r="E193" s="431"/>
      <c r="F193" s="681">
        <f>0.3*$F$192</f>
        <v>14.586</v>
      </c>
      <c r="G193" s="681">
        <f>0.3*$G$192</f>
        <v>2.5739999999999998</v>
      </c>
      <c r="H193" s="681"/>
      <c r="I193" s="679"/>
      <c r="J193" s="679"/>
      <c r="K193" s="679"/>
      <c r="L193" s="679"/>
      <c r="M193" s="679"/>
      <c r="N193" s="681"/>
      <c r="O193" s="681"/>
      <c r="P193" s="681">
        <f>0.4*$P$192</f>
        <v>4.5760000000000005</v>
      </c>
      <c r="Q193" s="677"/>
      <c r="R193" s="677"/>
      <c r="S193" s="442"/>
      <c r="T193" s="442"/>
      <c r="U193" s="441"/>
    </row>
    <row r="194" spans="1:21" s="59" customFormat="1" ht="15.75">
      <c r="A194" s="657" t="s">
        <v>245</v>
      </c>
      <c r="B194" s="656" t="s">
        <v>105</v>
      </c>
      <c r="C194" s="396"/>
      <c r="D194" s="641" t="s">
        <v>890</v>
      </c>
      <c r="E194" s="397"/>
      <c r="F194" s="681">
        <f>0.4*$F$192</f>
        <v>19.448000000000004</v>
      </c>
      <c r="G194" s="681">
        <f>0.4*$G$192</f>
        <v>3.4320000000000004</v>
      </c>
      <c r="H194" s="681"/>
      <c r="I194" s="681"/>
      <c r="J194" s="681"/>
      <c r="K194" s="681">
        <f>1*K192</f>
        <v>4.29</v>
      </c>
      <c r="L194" s="681"/>
      <c r="M194" s="677"/>
      <c r="N194" s="681"/>
      <c r="O194" s="681"/>
      <c r="P194" s="681">
        <f>0.3*$P$192</f>
        <v>3.4320000000000004</v>
      </c>
      <c r="Q194" s="678">
        <f>1*Q192</f>
        <v>25.740000000000002</v>
      </c>
      <c r="R194" s="678">
        <f>1*R192</f>
        <v>25.740000000000002</v>
      </c>
      <c r="S194" s="327"/>
      <c r="T194" s="327"/>
      <c r="U194" s="454"/>
    </row>
    <row r="195" spans="1:21" s="59" customFormat="1" ht="15.75">
      <c r="A195" s="657" t="s">
        <v>246</v>
      </c>
      <c r="B195" s="656" t="s">
        <v>213</v>
      </c>
      <c r="C195" s="404"/>
      <c r="D195" s="641" t="s">
        <v>890</v>
      </c>
      <c r="E195" s="405"/>
      <c r="F195" s="681">
        <f>0.3*$F$192</f>
        <v>14.586</v>
      </c>
      <c r="G195" s="681">
        <f>0.3*$G$192</f>
        <v>2.5739999999999998</v>
      </c>
      <c r="H195" s="681">
        <f>1*H192</f>
        <v>4.29</v>
      </c>
      <c r="I195" s="679"/>
      <c r="J195" s="679"/>
      <c r="K195" s="679"/>
      <c r="L195" s="679"/>
      <c r="M195" s="679"/>
      <c r="N195" s="681"/>
      <c r="O195" s="681"/>
      <c r="P195" s="681">
        <f>0.3*$P$192</f>
        <v>3.4320000000000004</v>
      </c>
      <c r="Q195" s="679"/>
      <c r="R195" s="679"/>
      <c r="S195" s="442"/>
      <c r="T195" s="442"/>
      <c r="U195" s="454"/>
    </row>
    <row r="196" spans="1:21" s="59" customFormat="1" ht="15.75">
      <c r="A196" s="426"/>
      <c r="B196" s="656"/>
      <c r="C196" s="396"/>
      <c r="D196" s="641"/>
      <c r="E196" s="397"/>
      <c r="F196" s="672">
        <f t="shared" ref="F196:U196" si="60">F192-SUM(F193:F195)</f>
        <v>0</v>
      </c>
      <c r="G196" s="672">
        <f t="shared" si="60"/>
        <v>0</v>
      </c>
      <c r="H196" s="672">
        <f t="shared" si="60"/>
        <v>0</v>
      </c>
      <c r="I196" s="672">
        <f t="shared" si="60"/>
        <v>0</v>
      </c>
      <c r="J196" s="672">
        <f t="shared" si="60"/>
        <v>0</v>
      </c>
      <c r="K196" s="672">
        <f t="shared" si="60"/>
        <v>0</v>
      </c>
      <c r="L196" s="672">
        <f t="shared" si="60"/>
        <v>0</v>
      </c>
      <c r="M196" s="672">
        <f t="shared" si="60"/>
        <v>0</v>
      </c>
      <c r="N196" s="672">
        <f t="shared" si="60"/>
        <v>0</v>
      </c>
      <c r="O196" s="672">
        <f t="shared" si="60"/>
        <v>0</v>
      </c>
      <c r="P196" s="672">
        <f t="shared" si="60"/>
        <v>0</v>
      </c>
      <c r="Q196" s="672">
        <f t="shared" si="60"/>
        <v>0</v>
      </c>
      <c r="R196" s="672">
        <f t="shared" si="60"/>
        <v>0</v>
      </c>
      <c r="S196" s="672">
        <f t="shared" si="60"/>
        <v>0</v>
      </c>
      <c r="T196" s="672">
        <f t="shared" si="60"/>
        <v>0</v>
      </c>
      <c r="U196" s="672">
        <f t="shared" si="60"/>
        <v>0</v>
      </c>
    </row>
    <row r="197" spans="1:21" s="59" customFormat="1" ht="15.75">
      <c r="A197" s="769"/>
      <c r="B197" s="656"/>
      <c r="C197" s="404"/>
      <c r="D197" s="641"/>
      <c r="E197" s="405"/>
      <c r="F197" s="690"/>
      <c r="G197" s="679"/>
      <c r="H197" s="679"/>
      <c r="I197" s="679"/>
      <c r="J197" s="679"/>
      <c r="K197" s="679"/>
      <c r="L197" s="679"/>
      <c r="M197" s="679"/>
      <c r="N197" s="679"/>
      <c r="O197" s="679"/>
      <c r="P197" s="679"/>
      <c r="Q197" s="679"/>
      <c r="R197" s="679"/>
      <c r="S197" s="442"/>
      <c r="T197" s="442"/>
      <c r="U197" s="454"/>
    </row>
    <row r="198" spans="1:21" s="834" customFormat="1" ht="15.75">
      <c r="A198" s="391" t="s">
        <v>247</v>
      </c>
      <c r="B198" s="617" t="s">
        <v>248</v>
      </c>
      <c r="C198" s="832"/>
      <c r="D198" s="419"/>
      <c r="E198" s="833"/>
      <c r="F198" s="669">
        <f>0.01*F$32</f>
        <v>9.7240000000000002</v>
      </c>
      <c r="G198" s="669">
        <f>0.05*G$32</f>
        <v>21.450000000000003</v>
      </c>
      <c r="H198" s="669">
        <f>0.06*H$32</f>
        <v>25.74</v>
      </c>
      <c r="I198" s="669"/>
      <c r="J198" s="669"/>
      <c r="K198" s="669">
        <f>0.06*K$32</f>
        <v>25.74</v>
      </c>
      <c r="L198" s="669"/>
      <c r="M198" s="669"/>
      <c r="N198" s="669"/>
      <c r="O198" s="669"/>
      <c r="P198" s="669">
        <f>0.1*P$32</f>
        <v>11.440000000000001</v>
      </c>
      <c r="Q198" s="669">
        <f>0.02*Q$32</f>
        <v>25.740000000000002</v>
      </c>
      <c r="R198" s="669">
        <f>0.02*R$32</f>
        <v>25.740000000000002</v>
      </c>
      <c r="S198" s="669">
        <f>TRUNC(0.02*S$32)</f>
        <v>0</v>
      </c>
      <c r="T198" s="669">
        <f>TRUNC(0.02*T$32)</f>
        <v>0</v>
      </c>
      <c r="U198" s="669">
        <f>TRUNC(0.02*U$32)</f>
        <v>0</v>
      </c>
    </row>
    <row r="199" spans="1:21" s="369" customFormat="1" ht="15.75">
      <c r="A199" s="433" t="s">
        <v>249</v>
      </c>
      <c r="B199" s="658" t="s">
        <v>99</v>
      </c>
      <c r="C199" s="434"/>
      <c r="D199" s="430" t="s">
        <v>890</v>
      </c>
      <c r="E199" s="435"/>
      <c r="F199" s="681">
        <f>0.4*$F$198</f>
        <v>3.8896000000000002</v>
      </c>
      <c r="G199" s="681">
        <f>0.4*$G$198</f>
        <v>8.5800000000000018</v>
      </c>
      <c r="H199" s="681">
        <f>0.3*$H$198</f>
        <v>7.7219999999999995</v>
      </c>
      <c r="I199" s="681"/>
      <c r="J199" s="681"/>
      <c r="K199" s="681">
        <f>0.5*$K$198</f>
        <v>12.87</v>
      </c>
      <c r="L199" s="681"/>
      <c r="M199" s="677"/>
      <c r="N199" s="677"/>
      <c r="O199" s="677"/>
      <c r="P199" s="677">
        <f>0.4*$P$198</f>
        <v>4.5760000000000005</v>
      </c>
      <c r="Q199" s="681"/>
      <c r="R199" s="677"/>
      <c r="S199" s="460"/>
      <c r="T199" s="460"/>
      <c r="U199" s="441"/>
    </row>
    <row r="200" spans="1:21" s="59" customFormat="1" ht="15.75">
      <c r="A200" s="433" t="s">
        <v>250</v>
      </c>
      <c r="B200" s="656" t="s">
        <v>105</v>
      </c>
      <c r="C200" s="396"/>
      <c r="D200" s="641" t="s">
        <v>890</v>
      </c>
      <c r="E200" s="397"/>
      <c r="F200" s="681">
        <f>0.3*$F$198</f>
        <v>2.9171999999999998</v>
      </c>
      <c r="G200" s="681">
        <f>0.3*$G$198</f>
        <v>6.4350000000000005</v>
      </c>
      <c r="H200" s="681">
        <f>0.3*$H$198</f>
        <v>7.7219999999999995</v>
      </c>
      <c r="I200" s="681"/>
      <c r="J200" s="681"/>
      <c r="K200" s="681">
        <f>0.5*$K$198</f>
        <v>12.87</v>
      </c>
      <c r="L200" s="681"/>
      <c r="M200" s="677"/>
      <c r="N200" s="678"/>
      <c r="O200" s="678"/>
      <c r="P200" s="677">
        <f>0.3*$P$198</f>
        <v>3.4320000000000004</v>
      </c>
      <c r="Q200" s="681">
        <f>1*Q198</f>
        <v>25.740000000000002</v>
      </c>
      <c r="R200" s="681">
        <f>1*R198</f>
        <v>25.740000000000002</v>
      </c>
      <c r="S200" s="327"/>
      <c r="T200" s="327"/>
      <c r="U200" s="454"/>
    </row>
    <row r="201" spans="1:21" s="47" customFormat="1" ht="15.75">
      <c r="A201" s="433" t="s">
        <v>251</v>
      </c>
      <c r="B201" s="656" t="s">
        <v>213</v>
      </c>
      <c r="C201" s="396"/>
      <c r="D201" s="641" t="s">
        <v>890</v>
      </c>
      <c r="E201" s="397"/>
      <c r="F201" s="681">
        <f>0.3*$F$198</f>
        <v>2.9171999999999998</v>
      </c>
      <c r="G201" s="681">
        <f>0.3*$G$198</f>
        <v>6.4350000000000005</v>
      </c>
      <c r="H201" s="681">
        <f>0.4*$H$198</f>
        <v>10.295999999999999</v>
      </c>
      <c r="I201" s="681"/>
      <c r="J201" s="681"/>
      <c r="K201" s="681"/>
      <c r="L201" s="681"/>
      <c r="M201" s="677"/>
      <c r="N201" s="678"/>
      <c r="O201" s="678"/>
      <c r="P201" s="677">
        <f>0.3*$P$198</f>
        <v>3.4320000000000004</v>
      </c>
      <c r="Q201" s="681"/>
      <c r="R201" s="679"/>
      <c r="S201" s="327"/>
      <c r="T201" s="327"/>
      <c r="U201" s="454"/>
    </row>
    <row r="202" spans="1:21" s="59" customFormat="1" ht="15.75">
      <c r="A202" s="426"/>
      <c r="B202" s="656"/>
      <c r="C202" s="396"/>
      <c r="D202" s="641"/>
      <c r="E202" s="397"/>
      <c r="F202" s="672">
        <f t="shared" ref="F202:U202" si="61">F198-SUM(F199:F201)</f>
        <v>0</v>
      </c>
      <c r="G202" s="672">
        <f t="shared" si="61"/>
        <v>0</v>
      </c>
      <c r="H202" s="672">
        <f t="shared" si="61"/>
        <v>0</v>
      </c>
      <c r="I202" s="672">
        <f t="shared" si="61"/>
        <v>0</v>
      </c>
      <c r="J202" s="672">
        <f t="shared" si="61"/>
        <v>0</v>
      </c>
      <c r="K202" s="672">
        <f>K198-SUM(K199:K201)</f>
        <v>0</v>
      </c>
      <c r="L202" s="672">
        <f t="shared" si="61"/>
        <v>0</v>
      </c>
      <c r="M202" s="672">
        <f t="shared" si="61"/>
        <v>0</v>
      </c>
      <c r="N202" s="672">
        <f t="shared" si="61"/>
        <v>0</v>
      </c>
      <c r="O202" s="672">
        <f t="shared" si="61"/>
        <v>0</v>
      </c>
      <c r="P202" s="672">
        <f t="shared" si="61"/>
        <v>0</v>
      </c>
      <c r="Q202" s="672">
        <f t="shared" si="61"/>
        <v>0</v>
      </c>
      <c r="R202" s="672">
        <f t="shared" si="61"/>
        <v>0</v>
      </c>
      <c r="S202" s="672">
        <f t="shared" si="61"/>
        <v>0</v>
      </c>
      <c r="T202" s="672">
        <f t="shared" si="61"/>
        <v>0</v>
      </c>
      <c r="U202" s="672">
        <f t="shared" si="61"/>
        <v>0</v>
      </c>
    </row>
    <row r="203" spans="1:21" s="59" customFormat="1" ht="15.75">
      <c r="A203" s="769"/>
      <c r="B203" s="656"/>
      <c r="C203" s="404"/>
      <c r="D203" s="641"/>
      <c r="E203" s="405"/>
      <c r="F203" s="690"/>
      <c r="G203" s="679"/>
      <c r="H203" s="679"/>
      <c r="I203" s="679"/>
      <c r="J203" s="679"/>
      <c r="K203" s="679"/>
      <c r="L203" s="679"/>
      <c r="M203" s="679"/>
      <c r="N203" s="679"/>
      <c r="O203" s="679"/>
      <c r="P203" s="679"/>
      <c r="Q203" s="679"/>
      <c r="R203" s="679"/>
      <c r="S203" s="442"/>
      <c r="T203" s="442"/>
      <c r="U203" s="454"/>
    </row>
    <row r="204" spans="1:21" s="230" customFormat="1" ht="15.75">
      <c r="A204" s="361" t="s">
        <v>252</v>
      </c>
      <c r="B204" s="659" t="s">
        <v>253</v>
      </c>
      <c r="C204" s="376"/>
      <c r="D204" s="227"/>
      <c r="E204" s="228"/>
      <c r="F204" s="666"/>
      <c r="G204" s="666"/>
      <c r="H204" s="666">
        <f>0.01*H$32</f>
        <v>4.29</v>
      </c>
      <c r="I204" s="666"/>
      <c r="J204" s="666"/>
      <c r="K204" s="666">
        <f>0.01*K$32</f>
        <v>4.29</v>
      </c>
      <c r="L204" s="666">
        <f>0.01*L$32</f>
        <v>8.58</v>
      </c>
      <c r="M204" s="666">
        <f>0.01*M$32</f>
        <v>4.29</v>
      </c>
      <c r="N204" s="666">
        <f>0.05*N$32</f>
        <v>21.450000000000003</v>
      </c>
      <c r="O204" s="666">
        <f>0.1*O$32</f>
        <v>42.900000000000006</v>
      </c>
      <c r="P204" s="666"/>
      <c r="Q204" s="666">
        <f>0.01*Q$32</f>
        <v>12.870000000000001</v>
      </c>
      <c r="R204" s="666"/>
      <c r="S204" s="666">
        <f>TRUNC(0.02*S$32)</f>
        <v>0</v>
      </c>
      <c r="T204" s="666">
        <f>TRUNC(0.02*T$32)</f>
        <v>0</v>
      </c>
      <c r="U204" s="666">
        <f>TRUNC(0.02*U$32)</f>
        <v>0</v>
      </c>
    </row>
    <row r="205" spans="1:21" s="369" customFormat="1" ht="15.75">
      <c r="A205" s="657" t="s">
        <v>254</v>
      </c>
      <c r="B205" s="658" t="s">
        <v>99</v>
      </c>
      <c r="C205" s="429"/>
      <c r="D205" s="430" t="s">
        <v>890</v>
      </c>
      <c r="E205" s="431"/>
      <c r="F205" s="681"/>
      <c r="G205" s="681"/>
      <c r="H205" s="681"/>
      <c r="I205" s="679"/>
      <c r="J205" s="679"/>
      <c r="K205" s="679"/>
      <c r="L205" s="681">
        <f>0.5*$L$204</f>
        <v>4.29</v>
      </c>
      <c r="M205" s="681">
        <f>1*M204</f>
        <v>4.29</v>
      </c>
      <c r="N205" s="681">
        <f>0.25*$N$204</f>
        <v>5.3625000000000007</v>
      </c>
      <c r="O205" s="681">
        <f>0.25*$O$204</f>
        <v>10.725000000000001</v>
      </c>
      <c r="P205" s="681"/>
      <c r="Q205" s="681"/>
      <c r="R205" s="681"/>
      <c r="S205" s="442"/>
      <c r="T205" s="442"/>
      <c r="U205" s="441"/>
    </row>
    <row r="206" spans="1:21" s="369" customFormat="1" ht="15.75">
      <c r="A206" s="657" t="s">
        <v>255</v>
      </c>
      <c r="B206" s="658" t="s">
        <v>105</v>
      </c>
      <c r="C206" s="434"/>
      <c r="D206" s="430" t="s">
        <v>890</v>
      </c>
      <c r="E206" s="435"/>
      <c r="F206" s="681"/>
      <c r="G206" s="681"/>
      <c r="H206" s="681"/>
      <c r="I206" s="681"/>
      <c r="J206" s="681"/>
      <c r="K206" s="681">
        <f>1*K204</f>
        <v>4.29</v>
      </c>
      <c r="L206" s="681"/>
      <c r="M206" s="681"/>
      <c r="N206" s="681">
        <f>0.25*$N$204</f>
        <v>5.3625000000000007</v>
      </c>
      <c r="O206" s="681">
        <f>0.25*$O$204</f>
        <v>10.725000000000001</v>
      </c>
      <c r="P206" s="681"/>
      <c r="Q206" s="681">
        <f>1*Q204</f>
        <v>12.870000000000001</v>
      </c>
      <c r="R206" s="681">
        <f>1*R204</f>
        <v>0</v>
      </c>
      <c r="S206" s="460"/>
      <c r="T206" s="460"/>
      <c r="U206" s="441"/>
    </row>
    <row r="207" spans="1:21" s="59" customFormat="1" ht="15.75">
      <c r="A207" s="657" t="s">
        <v>256</v>
      </c>
      <c r="B207" s="656" t="s">
        <v>213</v>
      </c>
      <c r="C207" s="404"/>
      <c r="D207" s="641" t="s">
        <v>890</v>
      </c>
      <c r="E207" s="405"/>
      <c r="F207" s="681"/>
      <c r="G207" s="681"/>
      <c r="H207" s="681">
        <f>1*H204</f>
        <v>4.29</v>
      </c>
      <c r="I207" s="679"/>
      <c r="J207" s="679"/>
      <c r="K207" s="679"/>
      <c r="L207" s="681">
        <f>0.5*$L$204</f>
        <v>4.29</v>
      </c>
      <c r="M207" s="681"/>
      <c r="N207" s="681">
        <f>0.25*$N$204</f>
        <v>5.3625000000000007</v>
      </c>
      <c r="O207" s="681">
        <f>0.25*$O$204</f>
        <v>10.725000000000001</v>
      </c>
      <c r="P207" s="681"/>
      <c r="Q207" s="681"/>
      <c r="R207" s="681"/>
      <c r="S207" s="442"/>
      <c r="T207" s="442"/>
      <c r="U207" s="454"/>
    </row>
    <row r="208" spans="1:21" s="59" customFormat="1" ht="15.75">
      <c r="A208" s="657" t="s">
        <v>257</v>
      </c>
      <c r="B208" s="656" t="s">
        <v>152</v>
      </c>
      <c r="C208" s="404"/>
      <c r="D208" s="641"/>
      <c r="E208" s="405"/>
      <c r="F208" s="681"/>
      <c r="G208" s="681"/>
      <c r="H208" s="681"/>
      <c r="I208" s="679"/>
      <c r="J208" s="679"/>
      <c r="K208" s="679"/>
      <c r="L208" s="681"/>
      <c r="M208" s="681"/>
      <c r="N208" s="681">
        <f>0.25*$N$204</f>
        <v>5.3625000000000007</v>
      </c>
      <c r="O208" s="681">
        <f>0.25*$O$204</f>
        <v>10.725000000000001</v>
      </c>
      <c r="P208" s="681"/>
      <c r="Q208" s="681"/>
      <c r="R208" s="681"/>
      <c r="S208" s="442"/>
      <c r="T208" s="442"/>
      <c r="U208" s="454"/>
    </row>
    <row r="209" spans="1:21" s="59" customFormat="1" ht="15.75">
      <c r="A209" s="426"/>
      <c r="B209" s="656"/>
      <c r="C209" s="396"/>
      <c r="D209" s="641"/>
      <c r="E209" s="397"/>
      <c r="F209" s="672">
        <f t="shared" ref="F209:U209" si="62">F204-SUM(F205:F208)</f>
        <v>0</v>
      </c>
      <c r="G209" s="672">
        <f t="shared" si="62"/>
        <v>0</v>
      </c>
      <c r="H209" s="672">
        <f t="shared" si="62"/>
        <v>0</v>
      </c>
      <c r="I209" s="672">
        <f t="shared" si="62"/>
        <v>0</v>
      </c>
      <c r="J209" s="672">
        <f t="shared" si="62"/>
        <v>0</v>
      </c>
      <c r="K209" s="672">
        <f t="shared" si="62"/>
        <v>0</v>
      </c>
      <c r="L209" s="672">
        <f t="shared" si="62"/>
        <v>0</v>
      </c>
      <c r="M209" s="672">
        <f t="shared" si="62"/>
        <v>0</v>
      </c>
      <c r="N209" s="672">
        <f t="shared" si="62"/>
        <v>0</v>
      </c>
      <c r="O209" s="672">
        <f t="shared" si="62"/>
        <v>0</v>
      </c>
      <c r="P209" s="672"/>
      <c r="Q209" s="672">
        <f t="shared" si="62"/>
        <v>0</v>
      </c>
      <c r="R209" s="672">
        <f t="shared" si="62"/>
        <v>0</v>
      </c>
      <c r="S209" s="672">
        <f t="shared" si="62"/>
        <v>0</v>
      </c>
      <c r="T209" s="672">
        <f t="shared" si="62"/>
        <v>0</v>
      </c>
      <c r="U209" s="672">
        <f t="shared" si="62"/>
        <v>0</v>
      </c>
    </row>
    <row r="210" spans="1:21" s="59" customFormat="1" ht="15.75">
      <c r="A210" s="769"/>
      <c r="B210" s="656"/>
      <c r="C210" s="404"/>
      <c r="D210" s="641"/>
      <c r="E210" s="405"/>
      <c r="F210" s="690"/>
      <c r="G210" s="679"/>
      <c r="H210" s="679"/>
      <c r="I210" s="679"/>
      <c r="J210" s="679"/>
      <c r="K210" s="679"/>
      <c r="L210" s="679"/>
      <c r="M210" s="679"/>
      <c r="N210" s="679"/>
      <c r="O210" s="679"/>
      <c r="P210" s="679"/>
      <c r="Q210" s="679"/>
      <c r="R210" s="679"/>
      <c r="S210" s="442"/>
      <c r="T210" s="442"/>
      <c r="U210" s="454"/>
    </row>
    <row r="211" spans="1:21" s="230" customFormat="1" ht="15.75">
      <c r="A211" s="361" t="s">
        <v>258</v>
      </c>
      <c r="B211" s="693" t="s">
        <v>259</v>
      </c>
      <c r="C211" s="236"/>
      <c r="D211" s="227"/>
      <c r="E211" s="228"/>
      <c r="F211" s="666">
        <f>0.01*F$32</f>
        <v>9.7240000000000002</v>
      </c>
      <c r="G211" s="666">
        <f>0.01*G$32</f>
        <v>4.29</v>
      </c>
      <c r="H211" s="666">
        <f>0.01*H$32</f>
        <v>4.29</v>
      </c>
      <c r="I211" s="666"/>
      <c r="J211" s="666"/>
      <c r="K211" s="666">
        <f>0.01*K$32</f>
        <v>4.29</v>
      </c>
      <c r="L211" s="666">
        <f>0.042*L$32</f>
        <v>36.036000000000001</v>
      </c>
      <c r="M211" s="666">
        <f>0.01*M$32</f>
        <v>4.29</v>
      </c>
      <c r="N211" s="666">
        <f>0.465*N$32</f>
        <v>199.48500000000001</v>
      </c>
      <c r="O211" s="666">
        <f>0.3*O$32</f>
        <v>128.69999999999999</v>
      </c>
      <c r="P211" s="666">
        <f>0.1*P$32</f>
        <v>11.440000000000001</v>
      </c>
      <c r="Q211" s="666">
        <f>0.02*Q$32</f>
        <v>25.740000000000002</v>
      </c>
      <c r="R211" s="666">
        <f>0.027*R$32</f>
        <v>34.749000000000002</v>
      </c>
      <c r="S211" s="666">
        <f>TRUNC(0.02*S$32)</f>
        <v>0</v>
      </c>
      <c r="T211" s="666">
        <f>TRUNC(0.02*T$32)</f>
        <v>0</v>
      </c>
      <c r="U211" s="666">
        <f>TRUNC(0.02*U$32)</f>
        <v>0</v>
      </c>
    </row>
    <row r="212" spans="1:21" s="369" customFormat="1" ht="15.75">
      <c r="A212" s="433" t="s">
        <v>260</v>
      </c>
      <c r="B212" s="658" t="s">
        <v>99</v>
      </c>
      <c r="C212" s="434"/>
      <c r="D212" s="430" t="s">
        <v>890</v>
      </c>
      <c r="E212" s="435"/>
      <c r="F212" s="681">
        <f>0.2*$F$211</f>
        <v>1.9448000000000001</v>
      </c>
      <c r="G212" s="681">
        <f>0.2*$G$211</f>
        <v>0.8580000000000001</v>
      </c>
      <c r="H212" s="681"/>
      <c r="I212" s="681"/>
      <c r="J212" s="681"/>
      <c r="K212" s="681"/>
      <c r="L212" s="681">
        <f>0.2*$L$211</f>
        <v>7.2072000000000003</v>
      </c>
      <c r="M212" s="681"/>
      <c r="N212" s="681">
        <f>0.2*$N$211</f>
        <v>39.897000000000006</v>
      </c>
      <c r="O212" s="681">
        <f>0.2*$O$211</f>
        <v>25.74</v>
      </c>
      <c r="P212" s="681">
        <f>0.2*$P$211</f>
        <v>2.2880000000000003</v>
      </c>
      <c r="Q212" s="677"/>
      <c r="R212" s="677"/>
      <c r="S212" s="460"/>
      <c r="T212" s="460"/>
      <c r="U212" s="441"/>
    </row>
    <row r="213" spans="1:21" s="47" customFormat="1" ht="15.75">
      <c r="A213" s="433" t="s">
        <v>261</v>
      </c>
      <c r="B213" s="656" t="s">
        <v>101</v>
      </c>
      <c r="C213" s="396"/>
      <c r="D213" s="641" t="s">
        <v>890</v>
      </c>
      <c r="E213" s="397"/>
      <c r="F213" s="681">
        <f>0.2*$F$211</f>
        <v>1.9448000000000001</v>
      </c>
      <c r="G213" s="681">
        <f>0.2*$G$211</f>
        <v>0.8580000000000001</v>
      </c>
      <c r="H213" s="681"/>
      <c r="I213" s="681"/>
      <c r="J213" s="681"/>
      <c r="K213" s="681"/>
      <c r="L213" s="681">
        <f>0.2*$L$211</f>
        <v>7.2072000000000003</v>
      </c>
      <c r="M213" s="681"/>
      <c r="N213" s="681">
        <f>0.2*$N$211</f>
        <v>39.897000000000006</v>
      </c>
      <c r="O213" s="681">
        <f>0.2*$O$211</f>
        <v>25.74</v>
      </c>
      <c r="P213" s="681">
        <f>0.2*$P$211</f>
        <v>2.2880000000000003</v>
      </c>
      <c r="Q213" s="440"/>
      <c r="R213" s="440"/>
      <c r="S213" s="464"/>
      <c r="T213" s="464"/>
      <c r="U213" s="454"/>
    </row>
    <row r="214" spans="1:21" s="59" customFormat="1" ht="15.75">
      <c r="A214" s="433" t="s">
        <v>262</v>
      </c>
      <c r="B214" s="656" t="s">
        <v>105</v>
      </c>
      <c r="C214" s="396"/>
      <c r="D214" s="641" t="s">
        <v>890</v>
      </c>
      <c r="E214" s="397"/>
      <c r="F214" s="681">
        <f>0.2*$F$211</f>
        <v>1.9448000000000001</v>
      </c>
      <c r="G214" s="681">
        <f>0.2*$G$211</f>
        <v>0.8580000000000001</v>
      </c>
      <c r="H214" s="681"/>
      <c r="I214" s="681"/>
      <c r="J214" s="681"/>
      <c r="K214" s="681">
        <f>1*K211</f>
        <v>4.29</v>
      </c>
      <c r="L214" s="681">
        <f>0.2*$L$211</f>
        <v>7.2072000000000003</v>
      </c>
      <c r="M214" s="681"/>
      <c r="N214" s="681">
        <f>0.2*$N$211</f>
        <v>39.897000000000006</v>
      </c>
      <c r="O214" s="681">
        <f>0.2*$O$211</f>
        <v>25.74</v>
      </c>
      <c r="P214" s="681">
        <f>0.2*$P$211</f>
        <v>2.2880000000000003</v>
      </c>
      <c r="Q214" s="678">
        <f>1*Q211</f>
        <v>25.740000000000002</v>
      </c>
      <c r="R214" s="678">
        <f>1*R211</f>
        <v>34.749000000000002</v>
      </c>
      <c r="S214" s="327"/>
      <c r="T214" s="327"/>
      <c r="U214" s="454"/>
    </row>
    <row r="215" spans="1:21" s="47" customFormat="1" ht="15.75">
      <c r="A215" s="433" t="s">
        <v>263</v>
      </c>
      <c r="B215" s="656" t="s">
        <v>213</v>
      </c>
      <c r="C215" s="396"/>
      <c r="D215" s="641" t="s">
        <v>890</v>
      </c>
      <c r="E215" s="397"/>
      <c r="F215" s="681">
        <f>0.2*$F$211</f>
        <v>1.9448000000000001</v>
      </c>
      <c r="G215" s="681">
        <f>0.2*$G$211</f>
        <v>0.8580000000000001</v>
      </c>
      <c r="H215" s="681">
        <f>1*H211</f>
        <v>4.29</v>
      </c>
      <c r="I215" s="681"/>
      <c r="J215" s="681"/>
      <c r="K215" s="681"/>
      <c r="L215" s="681">
        <f>0.2*$L$211</f>
        <v>7.2072000000000003</v>
      </c>
      <c r="M215" s="681">
        <f>1*M211</f>
        <v>4.29</v>
      </c>
      <c r="N215" s="681">
        <f>0.2*$N$211</f>
        <v>39.897000000000006</v>
      </c>
      <c r="O215" s="681">
        <f>0.2*$O$211</f>
        <v>25.74</v>
      </c>
      <c r="P215" s="681">
        <f>0.2*$P$211</f>
        <v>2.2880000000000003</v>
      </c>
      <c r="Q215" s="678"/>
      <c r="R215" s="678"/>
      <c r="S215" s="327"/>
      <c r="T215" s="327"/>
      <c r="U215" s="454"/>
    </row>
    <row r="216" spans="1:21" s="369" customFormat="1" ht="15.75">
      <c r="A216" s="433" t="s">
        <v>264</v>
      </c>
      <c r="B216" s="658" t="s">
        <v>152</v>
      </c>
      <c r="C216" s="434"/>
      <c r="D216" s="430"/>
      <c r="E216" s="435"/>
      <c r="F216" s="681">
        <f>0.2*$F$211</f>
        <v>1.9448000000000001</v>
      </c>
      <c r="G216" s="681">
        <f>0.2*$G$211</f>
        <v>0.8580000000000001</v>
      </c>
      <c r="H216" s="681"/>
      <c r="I216" s="681"/>
      <c r="J216" s="681"/>
      <c r="K216" s="681"/>
      <c r="L216" s="681">
        <f>0.2*$L$211</f>
        <v>7.2072000000000003</v>
      </c>
      <c r="M216" s="681"/>
      <c r="N216" s="681">
        <f>0.2*$N$211</f>
        <v>39.897000000000006</v>
      </c>
      <c r="O216" s="681">
        <f>0.2*$O$211</f>
        <v>25.74</v>
      </c>
      <c r="P216" s="681">
        <f>0.2*$P$211</f>
        <v>2.2880000000000003</v>
      </c>
      <c r="Q216" s="681"/>
      <c r="R216" s="681"/>
      <c r="S216" s="460"/>
      <c r="T216" s="460"/>
      <c r="U216" s="441"/>
    </row>
    <row r="217" spans="1:21" s="59" customFormat="1" ht="15.75">
      <c r="A217" s="426"/>
      <c r="B217" s="656"/>
      <c r="C217" s="396"/>
      <c r="D217" s="641"/>
      <c r="E217" s="397"/>
      <c r="F217" s="672">
        <f t="shared" ref="F217:U217" si="63">F211-SUM(F212:F216)</f>
        <v>0</v>
      </c>
      <c r="G217" s="672">
        <f t="shared" si="63"/>
        <v>0</v>
      </c>
      <c r="H217" s="672">
        <f>H211-SUM(H212:H216)</f>
        <v>0</v>
      </c>
      <c r="I217" s="672">
        <f t="shared" si="63"/>
        <v>0</v>
      </c>
      <c r="J217" s="672">
        <f t="shared" si="63"/>
        <v>0</v>
      </c>
      <c r="K217" s="672">
        <f t="shared" si="63"/>
        <v>0</v>
      </c>
      <c r="L217" s="672">
        <f t="shared" si="63"/>
        <v>0</v>
      </c>
      <c r="M217" s="672">
        <f t="shared" si="63"/>
        <v>0</v>
      </c>
      <c r="N217" s="672">
        <f t="shared" si="63"/>
        <v>0</v>
      </c>
      <c r="O217" s="672">
        <f t="shared" si="63"/>
        <v>0</v>
      </c>
      <c r="P217" s="672">
        <f t="shared" si="63"/>
        <v>0</v>
      </c>
      <c r="Q217" s="672">
        <f t="shared" si="63"/>
        <v>0</v>
      </c>
      <c r="R217" s="672">
        <f t="shared" si="63"/>
        <v>0</v>
      </c>
      <c r="S217" s="672">
        <f t="shared" si="63"/>
        <v>0</v>
      </c>
      <c r="T217" s="672">
        <f t="shared" si="63"/>
        <v>0</v>
      </c>
      <c r="U217" s="672">
        <f t="shared" si="63"/>
        <v>0</v>
      </c>
    </row>
    <row r="218" spans="1:21" s="59" customFormat="1" ht="15.75">
      <c r="A218" s="769"/>
      <c r="B218" s="656"/>
      <c r="C218" s="404"/>
      <c r="D218" s="641"/>
      <c r="E218" s="405"/>
      <c r="F218" s="690"/>
      <c r="G218" s="679"/>
      <c r="H218" s="679"/>
      <c r="I218" s="679"/>
      <c r="J218" s="679"/>
      <c r="K218" s="679"/>
      <c r="L218" s="679"/>
      <c r="M218" s="679"/>
      <c r="N218" s="679"/>
      <c r="O218" s="679"/>
      <c r="P218" s="679"/>
      <c r="Q218" s="679"/>
      <c r="R218" s="679"/>
      <c r="S218" s="442"/>
      <c r="T218" s="442"/>
      <c r="U218" s="454"/>
    </row>
    <row r="219" spans="1:21" s="230" customFormat="1" ht="15.75">
      <c r="A219" s="361" t="s">
        <v>265</v>
      </c>
      <c r="B219" s="612" t="s">
        <v>900</v>
      </c>
      <c r="C219" s="376"/>
      <c r="D219" s="227"/>
      <c r="E219" s="228"/>
      <c r="F219" s="666">
        <f>0.01*F$32</f>
        <v>9.7240000000000002</v>
      </c>
      <c r="G219" s="666">
        <f>0.01*G$32</f>
        <v>4.29</v>
      </c>
      <c r="H219" s="666">
        <f>0.01*H$32</f>
        <v>4.29</v>
      </c>
      <c r="I219" s="666"/>
      <c r="J219" s="666"/>
      <c r="K219" s="666">
        <f>0.01*K$32</f>
        <v>4.29</v>
      </c>
      <c r="L219" s="666">
        <f>0.005*L$32</f>
        <v>4.29</v>
      </c>
      <c r="M219" s="666">
        <f>0.01*M$32</f>
        <v>4.29</v>
      </c>
      <c r="N219" s="666">
        <f>0.1*N$32</f>
        <v>42.900000000000006</v>
      </c>
      <c r="O219" s="666">
        <f>0.15*O$32</f>
        <v>64.349999999999994</v>
      </c>
      <c r="P219" s="666">
        <f>0.1*P$32</f>
        <v>11.440000000000001</v>
      </c>
      <c r="Q219" s="666">
        <f>0.02*Q$32</f>
        <v>25.740000000000002</v>
      </c>
      <c r="R219" s="666">
        <f>0.02*R$32</f>
        <v>25.740000000000002</v>
      </c>
      <c r="S219" s="666">
        <f>TRUNC(0.02*S$32)</f>
        <v>0</v>
      </c>
      <c r="T219" s="666">
        <f>TRUNC(0.02*T$32)</f>
        <v>0</v>
      </c>
      <c r="U219" s="666">
        <f>TRUNC(0.02*U$32)</f>
        <v>0</v>
      </c>
    </row>
    <row r="220" spans="1:21" s="369" customFormat="1" ht="15.75">
      <c r="A220" s="657" t="s">
        <v>267</v>
      </c>
      <c r="B220" s="658" t="s">
        <v>99</v>
      </c>
      <c r="C220" s="429"/>
      <c r="D220" s="430" t="s">
        <v>890</v>
      </c>
      <c r="E220" s="431"/>
      <c r="F220" s="681">
        <f>0.25*$F$219</f>
        <v>2.431</v>
      </c>
      <c r="G220" s="681">
        <f>0.25*$G$219</f>
        <v>1.0725</v>
      </c>
      <c r="H220" s="681">
        <f>1*H219</f>
        <v>4.29</v>
      </c>
      <c r="I220" s="681"/>
      <c r="J220" s="681"/>
      <c r="K220" s="681"/>
      <c r="L220" s="681">
        <f>0.25*$L$219</f>
        <v>1.0725</v>
      </c>
      <c r="M220" s="681"/>
      <c r="N220" s="681">
        <f>0.25*$N$219</f>
        <v>10.725000000000001</v>
      </c>
      <c r="O220" s="681">
        <f>0.25*$O$219</f>
        <v>16.087499999999999</v>
      </c>
      <c r="P220" s="681">
        <f>0.25*$P$219</f>
        <v>2.8600000000000003</v>
      </c>
      <c r="Q220" s="677"/>
      <c r="R220" s="677"/>
      <c r="S220" s="442"/>
      <c r="T220" s="442"/>
      <c r="U220" s="441"/>
    </row>
    <row r="221" spans="1:21" s="59" customFormat="1" ht="15.75">
      <c r="A221" s="657" t="s">
        <v>268</v>
      </c>
      <c r="B221" s="656" t="s">
        <v>105</v>
      </c>
      <c r="C221" s="396"/>
      <c r="D221" s="641" t="s">
        <v>890</v>
      </c>
      <c r="E221" s="397"/>
      <c r="F221" s="681">
        <f>0.25*$F$219</f>
        <v>2.431</v>
      </c>
      <c r="G221" s="681">
        <f>0.25*$G$219</f>
        <v>1.0725</v>
      </c>
      <c r="H221" s="681"/>
      <c r="I221" s="681"/>
      <c r="J221" s="681"/>
      <c r="K221" s="681">
        <f>1*K219</f>
        <v>4.29</v>
      </c>
      <c r="L221" s="681">
        <f>0.25*$L$219</f>
        <v>1.0725</v>
      </c>
      <c r="M221" s="681"/>
      <c r="N221" s="681">
        <f>0.25*$N$219</f>
        <v>10.725000000000001</v>
      </c>
      <c r="O221" s="681">
        <f>0.25*$O$219</f>
        <v>16.087499999999999</v>
      </c>
      <c r="P221" s="681">
        <f>0.25*$P$219</f>
        <v>2.8600000000000003</v>
      </c>
      <c r="Q221" s="678">
        <f>1*Q219</f>
        <v>25.740000000000002</v>
      </c>
      <c r="R221" s="678">
        <f>1*R219</f>
        <v>25.740000000000002</v>
      </c>
      <c r="S221" s="327"/>
      <c r="T221" s="327"/>
      <c r="U221" s="454"/>
    </row>
    <row r="222" spans="1:21" s="59" customFormat="1" ht="15.75">
      <c r="A222" s="657" t="s">
        <v>269</v>
      </c>
      <c r="B222" s="656" t="s">
        <v>213</v>
      </c>
      <c r="C222" s="404"/>
      <c r="D222" s="641" t="s">
        <v>890</v>
      </c>
      <c r="E222" s="405"/>
      <c r="F222" s="681">
        <f>0.25*$F$219</f>
        <v>2.431</v>
      </c>
      <c r="G222" s="681">
        <f>0.25*$G$219</f>
        <v>1.0725</v>
      </c>
      <c r="H222" s="681"/>
      <c r="I222" s="679"/>
      <c r="J222" s="679"/>
      <c r="K222" s="679"/>
      <c r="L222" s="681">
        <f>0.25*$L$219</f>
        <v>1.0725</v>
      </c>
      <c r="M222" s="681">
        <f>1*M219</f>
        <v>4.29</v>
      </c>
      <c r="N222" s="681">
        <f>0.25*$N$219</f>
        <v>10.725000000000001</v>
      </c>
      <c r="O222" s="681">
        <f>0.25*$O$219</f>
        <v>16.087499999999999</v>
      </c>
      <c r="P222" s="681">
        <f>0.25*$P$219</f>
        <v>2.8600000000000003</v>
      </c>
      <c r="Q222" s="678"/>
      <c r="R222" s="678"/>
      <c r="S222" s="442"/>
      <c r="T222" s="442"/>
      <c r="U222" s="454"/>
    </row>
    <row r="223" spans="1:21" s="59" customFormat="1" ht="15.75">
      <c r="A223" s="657" t="s">
        <v>270</v>
      </c>
      <c r="B223" s="656" t="s">
        <v>152</v>
      </c>
      <c r="C223" s="404"/>
      <c r="D223" s="641" t="s">
        <v>890</v>
      </c>
      <c r="E223" s="405"/>
      <c r="F223" s="681">
        <f>0.25*$F$219</f>
        <v>2.431</v>
      </c>
      <c r="G223" s="681">
        <f>0.25*$G$219</f>
        <v>1.0725</v>
      </c>
      <c r="H223" s="681"/>
      <c r="I223" s="679"/>
      <c r="J223" s="679"/>
      <c r="K223" s="679"/>
      <c r="L223" s="681">
        <f>0.25*$L$219</f>
        <v>1.0725</v>
      </c>
      <c r="M223" s="681"/>
      <c r="N223" s="681">
        <f>0.25*$N$219</f>
        <v>10.725000000000001</v>
      </c>
      <c r="O223" s="681">
        <f>0.25*$O$219</f>
        <v>16.087499999999999</v>
      </c>
      <c r="P223" s="681">
        <f>0.25*$P$219</f>
        <v>2.8600000000000003</v>
      </c>
      <c r="Q223" s="440"/>
      <c r="R223" s="440"/>
      <c r="S223" s="442"/>
      <c r="T223" s="442"/>
      <c r="U223" s="454"/>
    </row>
    <row r="224" spans="1:21" s="368" customFormat="1" ht="15.75">
      <c r="A224" s="769"/>
      <c r="B224" s="656"/>
      <c r="C224" s="404"/>
      <c r="D224" s="641"/>
      <c r="E224" s="405"/>
      <c r="F224" s="672">
        <f>F219-SUM(F220:F223)</f>
        <v>0</v>
      </c>
      <c r="G224" s="672">
        <f t="shared" ref="G224:U224" si="64">G219-SUM(G220:G223)</f>
        <v>0</v>
      </c>
      <c r="H224" s="672">
        <f t="shared" si="64"/>
        <v>0</v>
      </c>
      <c r="I224" s="672">
        <f t="shared" si="64"/>
        <v>0</v>
      </c>
      <c r="J224" s="672">
        <f t="shared" si="64"/>
        <v>0</v>
      </c>
      <c r="K224" s="672">
        <f t="shared" si="64"/>
        <v>0</v>
      </c>
      <c r="L224" s="672">
        <f t="shared" si="64"/>
        <v>0</v>
      </c>
      <c r="M224" s="672">
        <f t="shared" si="64"/>
        <v>0</v>
      </c>
      <c r="N224" s="672">
        <f t="shared" si="64"/>
        <v>0</v>
      </c>
      <c r="O224" s="672">
        <f t="shared" si="64"/>
        <v>0</v>
      </c>
      <c r="P224" s="672">
        <f t="shared" si="64"/>
        <v>0</v>
      </c>
      <c r="Q224" s="672">
        <f t="shared" si="64"/>
        <v>0</v>
      </c>
      <c r="R224" s="672">
        <f t="shared" si="64"/>
        <v>0</v>
      </c>
      <c r="S224" s="672">
        <f t="shared" si="64"/>
        <v>0</v>
      </c>
      <c r="T224" s="672">
        <f t="shared" si="64"/>
        <v>0</v>
      </c>
      <c r="U224" s="672">
        <f t="shared" si="64"/>
        <v>0</v>
      </c>
    </row>
    <row r="225" spans="1:21" s="368" customFormat="1" ht="15.75">
      <c r="A225" s="769"/>
      <c r="B225" s="656"/>
      <c r="C225" s="404"/>
      <c r="D225" s="641"/>
      <c r="E225" s="405"/>
      <c r="F225" s="681"/>
      <c r="G225" s="673"/>
      <c r="H225" s="674"/>
      <c r="I225" s="673"/>
      <c r="J225" s="673"/>
      <c r="K225" s="673"/>
      <c r="L225" s="674"/>
      <c r="M225" s="674"/>
      <c r="N225" s="674"/>
      <c r="O225" s="674"/>
      <c r="P225" s="674"/>
      <c r="Q225" s="675"/>
      <c r="R225" s="675"/>
      <c r="S225" s="439"/>
      <c r="T225" s="439"/>
      <c r="U225" s="444"/>
    </row>
    <row r="226" spans="1:21" s="230" customFormat="1" ht="15.75">
      <c r="A226" s="361" t="s">
        <v>271</v>
      </c>
      <c r="B226" s="612" t="s">
        <v>272</v>
      </c>
      <c r="C226" s="376"/>
      <c r="D226" s="227"/>
      <c r="E226" s="228"/>
      <c r="F226" s="666">
        <f>0.005*F$32</f>
        <v>4.8620000000000001</v>
      </c>
      <c r="G226" s="666">
        <f>0.01*G$32</f>
        <v>4.29</v>
      </c>
      <c r="H226" s="666">
        <f>0.01*H$32</f>
        <v>4.29</v>
      </c>
      <c r="I226" s="666"/>
      <c r="J226" s="666"/>
      <c r="K226" s="666">
        <f>0.01*K$32</f>
        <v>4.29</v>
      </c>
      <c r="L226" s="666"/>
      <c r="M226" s="666"/>
      <c r="N226" s="666">
        <f>0.085*N$32</f>
        <v>36.465000000000003</v>
      </c>
      <c r="O226" s="666">
        <f>0.1*O$32</f>
        <v>42.900000000000006</v>
      </c>
      <c r="P226" s="666"/>
      <c r="Q226" s="666">
        <f>0.02*Q$32</f>
        <v>25.740000000000002</v>
      </c>
      <c r="R226" s="666">
        <f>0.02*R$32</f>
        <v>25.740000000000002</v>
      </c>
      <c r="S226" s="666">
        <f>TRUNC(0.02*S$32)</f>
        <v>0</v>
      </c>
      <c r="T226" s="666">
        <f>TRUNC(0.02*T$32)</f>
        <v>0</v>
      </c>
      <c r="U226" s="666">
        <f>TRUNC(0.02*U$32)</f>
        <v>0</v>
      </c>
    </row>
    <row r="227" spans="1:21" s="368" customFormat="1" ht="15.75">
      <c r="A227" s="657" t="s">
        <v>273</v>
      </c>
      <c r="B227" s="658" t="s">
        <v>99</v>
      </c>
      <c r="C227" s="404"/>
      <c r="D227" s="641" t="s">
        <v>890</v>
      </c>
      <c r="E227" s="405"/>
      <c r="F227" s="681">
        <f>0.3*$F$226</f>
        <v>1.4585999999999999</v>
      </c>
      <c r="G227" s="681">
        <f>0.3*$G$226</f>
        <v>1.2869999999999999</v>
      </c>
      <c r="H227" s="674"/>
      <c r="I227" s="673"/>
      <c r="J227" s="673"/>
      <c r="K227" s="673"/>
      <c r="L227" s="674"/>
      <c r="M227" s="674"/>
      <c r="N227" s="674">
        <f>0.3*$N$226</f>
        <v>10.939500000000001</v>
      </c>
      <c r="O227" s="674">
        <f>0.3*$O$226</f>
        <v>12.870000000000001</v>
      </c>
      <c r="P227" s="674"/>
      <c r="Q227" s="675"/>
      <c r="R227" s="675"/>
      <c r="S227" s="439"/>
      <c r="T227" s="439"/>
      <c r="U227" s="444"/>
    </row>
    <row r="228" spans="1:21" s="368" customFormat="1" ht="15.75">
      <c r="A228" s="657" t="s">
        <v>274</v>
      </c>
      <c r="B228" s="656" t="s">
        <v>105</v>
      </c>
      <c r="C228" s="404"/>
      <c r="D228" s="641" t="s">
        <v>890</v>
      </c>
      <c r="E228" s="405"/>
      <c r="F228" s="681">
        <f>0.3*$F$226</f>
        <v>1.4585999999999999</v>
      </c>
      <c r="G228" s="681">
        <f>0.3*$G$226</f>
        <v>1.2869999999999999</v>
      </c>
      <c r="H228" s="674"/>
      <c r="I228" s="673"/>
      <c r="J228" s="673"/>
      <c r="K228" s="673">
        <f>1*K226</f>
        <v>4.29</v>
      </c>
      <c r="L228" s="674"/>
      <c r="M228" s="674"/>
      <c r="N228" s="674">
        <f>0.3*$N$226</f>
        <v>10.939500000000001</v>
      </c>
      <c r="O228" s="674">
        <f>0.3*$O$226</f>
        <v>12.870000000000001</v>
      </c>
      <c r="P228" s="674"/>
      <c r="Q228" s="675">
        <f>1*Q226</f>
        <v>25.740000000000002</v>
      </c>
      <c r="R228" s="675">
        <f>1*R226</f>
        <v>25.740000000000002</v>
      </c>
      <c r="S228" s="439"/>
      <c r="T228" s="439"/>
      <c r="U228" s="444"/>
    </row>
    <row r="229" spans="1:21" s="368" customFormat="1" ht="15.75">
      <c r="A229" s="657" t="s">
        <v>275</v>
      </c>
      <c r="B229" s="656" t="s">
        <v>213</v>
      </c>
      <c r="C229" s="404"/>
      <c r="D229" s="641" t="s">
        <v>890</v>
      </c>
      <c r="E229" s="405"/>
      <c r="F229" s="681">
        <f>0.4*$F$226</f>
        <v>1.9448000000000001</v>
      </c>
      <c r="G229" s="681">
        <f>0.4*$G$226</f>
        <v>1.7160000000000002</v>
      </c>
      <c r="H229" s="674">
        <f>1*H226</f>
        <v>4.29</v>
      </c>
      <c r="I229" s="673"/>
      <c r="J229" s="673"/>
      <c r="K229" s="673"/>
      <c r="L229" s="674"/>
      <c r="M229" s="674"/>
      <c r="N229" s="674">
        <f>0.4*$N$226</f>
        <v>14.586000000000002</v>
      </c>
      <c r="O229" s="674">
        <f>0.4*$O$226</f>
        <v>17.160000000000004</v>
      </c>
      <c r="P229" s="674"/>
      <c r="Q229" s="675"/>
      <c r="R229" s="675"/>
      <c r="S229" s="439"/>
      <c r="T229" s="439"/>
      <c r="U229" s="444"/>
    </row>
    <row r="230" spans="1:21" s="59" customFormat="1" ht="15.75">
      <c r="A230" s="426"/>
      <c r="B230" s="656"/>
      <c r="C230" s="396"/>
      <c r="D230" s="641"/>
      <c r="E230" s="397"/>
      <c r="F230" s="672">
        <f>F226-SUM(F227:F229)</f>
        <v>0</v>
      </c>
      <c r="G230" s="672">
        <f t="shared" ref="G230:U230" si="65">G226-SUM(G227:G229)</f>
        <v>0</v>
      </c>
      <c r="H230" s="672">
        <f t="shared" si="65"/>
        <v>0</v>
      </c>
      <c r="I230" s="672">
        <f t="shared" si="65"/>
        <v>0</v>
      </c>
      <c r="J230" s="672">
        <f t="shared" si="65"/>
        <v>0</v>
      </c>
      <c r="K230" s="672">
        <f t="shared" si="65"/>
        <v>0</v>
      </c>
      <c r="L230" s="672">
        <f t="shared" si="65"/>
        <v>0</v>
      </c>
      <c r="M230" s="672">
        <f t="shared" si="65"/>
        <v>0</v>
      </c>
      <c r="N230" s="672">
        <f t="shared" si="65"/>
        <v>0</v>
      </c>
      <c r="O230" s="672">
        <f t="shared" si="65"/>
        <v>0</v>
      </c>
      <c r="P230" s="672"/>
      <c r="Q230" s="672">
        <f t="shared" si="65"/>
        <v>0</v>
      </c>
      <c r="R230" s="672">
        <f t="shared" si="65"/>
        <v>0</v>
      </c>
      <c r="S230" s="672">
        <f t="shared" si="65"/>
        <v>0</v>
      </c>
      <c r="T230" s="672">
        <f>T226-SUM(T227:T229)</f>
        <v>0</v>
      </c>
      <c r="U230" s="672">
        <f t="shared" si="65"/>
        <v>0</v>
      </c>
    </row>
    <row r="231" spans="1:21" s="59" customFormat="1" ht="15.75">
      <c r="A231" s="769"/>
      <c r="B231" s="656"/>
      <c r="C231" s="404"/>
      <c r="D231" s="641"/>
      <c r="E231" s="405"/>
      <c r="F231" s="690"/>
      <c r="G231" s="679"/>
      <c r="H231" s="679"/>
      <c r="I231" s="679"/>
      <c r="J231" s="679"/>
      <c r="K231" s="679"/>
      <c r="L231" s="679"/>
      <c r="M231" s="679"/>
      <c r="N231" s="679"/>
      <c r="O231" s="679"/>
      <c r="P231" s="679"/>
      <c r="Q231" s="679"/>
      <c r="R231" s="679"/>
      <c r="S231" s="442"/>
      <c r="T231" s="442"/>
      <c r="U231" s="454"/>
    </row>
    <row r="232" spans="1:21" s="230" customFormat="1" ht="15.75">
      <c r="A232" s="361" t="s">
        <v>276</v>
      </c>
      <c r="B232" s="693" t="s">
        <v>277</v>
      </c>
      <c r="C232" s="376"/>
      <c r="D232" s="227"/>
      <c r="E232" s="228"/>
      <c r="F232" s="666">
        <f>0.01*F$32</f>
        <v>9.7240000000000002</v>
      </c>
      <c r="G232" s="666">
        <f>0.02*G$32</f>
        <v>8.58</v>
      </c>
      <c r="H232" s="666">
        <f>0.01*H$32</f>
        <v>4.29</v>
      </c>
      <c r="I232" s="666"/>
      <c r="J232" s="666"/>
      <c r="K232" s="666">
        <f>0.01*K$32</f>
        <v>4.29</v>
      </c>
      <c r="L232" s="666"/>
      <c r="M232" s="666"/>
      <c r="N232" s="666">
        <f>0.03*N$32</f>
        <v>12.87</v>
      </c>
      <c r="O232" s="666">
        <f>0.063*O$32</f>
        <v>27.027000000000001</v>
      </c>
      <c r="P232" s="666">
        <f>0.05*P$32</f>
        <v>5.7200000000000006</v>
      </c>
      <c r="Q232" s="666">
        <f>0.01*Q$32</f>
        <v>12.870000000000001</v>
      </c>
      <c r="R232" s="666">
        <f>0.018*R$32</f>
        <v>23.165999999999997</v>
      </c>
      <c r="S232" s="666">
        <f>TRUNC(0.02*S$32)</f>
        <v>0</v>
      </c>
      <c r="T232" s="666">
        <f>TRUNC(0.02*T$32)</f>
        <v>0</v>
      </c>
      <c r="U232" s="666">
        <f>TRUNC(0.02*U$32)</f>
        <v>0</v>
      </c>
    </row>
    <row r="233" spans="1:21" s="369" customFormat="1" ht="15.75">
      <c r="A233" s="657" t="s">
        <v>278</v>
      </c>
      <c r="B233" s="658" t="s">
        <v>99</v>
      </c>
      <c r="C233" s="429"/>
      <c r="D233" s="430" t="s">
        <v>890</v>
      </c>
      <c r="E233" s="431"/>
      <c r="F233" s="681">
        <f>0.25*$F$232</f>
        <v>2.431</v>
      </c>
      <c r="G233" s="681">
        <f>0.25*$G$232</f>
        <v>2.145</v>
      </c>
      <c r="H233" s="681"/>
      <c r="I233" s="681"/>
      <c r="J233" s="681"/>
      <c r="K233" s="681">
        <f>1*K232</f>
        <v>4.29</v>
      </c>
      <c r="L233" s="681"/>
      <c r="M233" s="681"/>
      <c r="N233" s="681">
        <f>0.25*$N$232</f>
        <v>3.2174999999999998</v>
      </c>
      <c r="O233" s="681">
        <f>0.25*$O$232</f>
        <v>6.7567500000000003</v>
      </c>
      <c r="P233" s="681">
        <f>0.25*$P$232</f>
        <v>1.4300000000000002</v>
      </c>
      <c r="Q233" s="677"/>
      <c r="R233" s="677"/>
      <c r="S233" s="442"/>
      <c r="T233" s="442"/>
      <c r="U233" s="441"/>
    </row>
    <row r="234" spans="1:21" s="59" customFormat="1" ht="15.75">
      <c r="A234" s="657" t="s">
        <v>279</v>
      </c>
      <c r="B234" s="656" t="s">
        <v>101</v>
      </c>
      <c r="C234" s="404"/>
      <c r="D234" s="641" t="s">
        <v>890</v>
      </c>
      <c r="E234" s="405"/>
      <c r="F234" s="681">
        <f>0.25*$F$232</f>
        <v>2.431</v>
      </c>
      <c r="G234" s="681">
        <f>0.25*$G$232</f>
        <v>2.145</v>
      </c>
      <c r="H234" s="681"/>
      <c r="I234" s="679"/>
      <c r="J234" s="679"/>
      <c r="K234" s="679"/>
      <c r="L234" s="679"/>
      <c r="M234" s="679"/>
      <c r="N234" s="681">
        <f>0.25*$N$232</f>
        <v>3.2174999999999998</v>
      </c>
      <c r="O234" s="681">
        <f>0.25*$O$232</f>
        <v>6.7567500000000003</v>
      </c>
      <c r="P234" s="681">
        <f>0.25*$P$232</f>
        <v>1.4300000000000002</v>
      </c>
      <c r="Q234" s="440"/>
      <c r="R234" s="440"/>
      <c r="S234" s="442"/>
      <c r="T234" s="442"/>
      <c r="U234" s="454"/>
    </row>
    <row r="235" spans="1:21" s="59" customFormat="1" ht="15.75">
      <c r="A235" s="657" t="s">
        <v>280</v>
      </c>
      <c r="B235" s="656" t="s">
        <v>105</v>
      </c>
      <c r="C235" s="396"/>
      <c r="D235" s="641" t="s">
        <v>890</v>
      </c>
      <c r="E235" s="397"/>
      <c r="F235" s="681">
        <f>0.25*$F$232</f>
        <v>2.431</v>
      </c>
      <c r="G235" s="681">
        <f>0.25*$G$232</f>
        <v>2.145</v>
      </c>
      <c r="H235" s="681"/>
      <c r="I235" s="681"/>
      <c r="J235" s="681"/>
      <c r="K235" s="681"/>
      <c r="L235" s="681"/>
      <c r="M235" s="677"/>
      <c r="N235" s="681">
        <f>0.25*$N$232</f>
        <v>3.2174999999999998</v>
      </c>
      <c r="O235" s="681">
        <f>0.25*$O$232</f>
        <v>6.7567500000000003</v>
      </c>
      <c r="P235" s="681">
        <f>0.25*$P$232</f>
        <v>1.4300000000000002</v>
      </c>
      <c r="Q235" s="678">
        <f>0.5*$Q$232</f>
        <v>6.4350000000000005</v>
      </c>
      <c r="R235" s="678">
        <f>0.5*$R$232</f>
        <v>11.582999999999998</v>
      </c>
      <c r="S235" s="327"/>
      <c r="T235" s="327"/>
      <c r="U235" s="454"/>
    </row>
    <row r="236" spans="1:21" s="59" customFormat="1" ht="15.75">
      <c r="A236" s="657" t="s">
        <v>281</v>
      </c>
      <c r="B236" s="656" t="s">
        <v>213</v>
      </c>
      <c r="C236" s="404"/>
      <c r="D236" s="641" t="s">
        <v>890</v>
      </c>
      <c r="E236" s="405"/>
      <c r="F236" s="681">
        <f>0.25*$F$232</f>
        <v>2.431</v>
      </c>
      <c r="G236" s="681">
        <f>0.25*$G$232</f>
        <v>2.145</v>
      </c>
      <c r="H236" s="681">
        <f>1*H232</f>
        <v>4.29</v>
      </c>
      <c r="I236" s="679"/>
      <c r="J236" s="679"/>
      <c r="K236" s="679"/>
      <c r="L236" s="679"/>
      <c r="M236" s="679"/>
      <c r="N236" s="681">
        <f>0.25*$N$232</f>
        <v>3.2174999999999998</v>
      </c>
      <c r="O236" s="681">
        <f>0.25*$O$232</f>
        <v>6.7567500000000003</v>
      </c>
      <c r="P236" s="681">
        <f>0.25*$P$232</f>
        <v>1.4300000000000002</v>
      </c>
      <c r="Q236" s="678">
        <f>0.5*$Q$232</f>
        <v>6.4350000000000005</v>
      </c>
      <c r="R236" s="678">
        <f>0.5*$R$232</f>
        <v>11.582999999999998</v>
      </c>
      <c r="S236" s="442"/>
      <c r="T236" s="442"/>
      <c r="U236" s="454"/>
    </row>
    <row r="237" spans="1:21" s="59" customFormat="1" ht="15.75">
      <c r="A237" s="426"/>
      <c r="B237" s="656"/>
      <c r="C237" s="396"/>
      <c r="D237" s="641"/>
      <c r="E237" s="397"/>
      <c r="F237" s="672">
        <f t="shared" ref="F237:U237" si="66">F232-SUM(F233:F236)</f>
        <v>0</v>
      </c>
      <c r="G237" s="672">
        <f t="shared" si="66"/>
        <v>0</v>
      </c>
      <c r="H237" s="672">
        <f t="shared" si="66"/>
        <v>0</v>
      </c>
      <c r="I237" s="672">
        <f t="shared" si="66"/>
        <v>0</v>
      </c>
      <c r="J237" s="672">
        <f t="shared" si="66"/>
        <v>0</v>
      </c>
      <c r="K237" s="672">
        <f t="shared" si="66"/>
        <v>0</v>
      </c>
      <c r="L237" s="672">
        <f t="shared" si="66"/>
        <v>0</v>
      </c>
      <c r="M237" s="672">
        <f t="shared" si="66"/>
        <v>0</v>
      </c>
      <c r="N237" s="672">
        <f t="shared" si="66"/>
        <v>0</v>
      </c>
      <c r="O237" s="672">
        <f t="shared" si="66"/>
        <v>0</v>
      </c>
      <c r="P237" s="672">
        <f t="shared" si="66"/>
        <v>0</v>
      </c>
      <c r="Q237" s="672">
        <f t="shared" si="66"/>
        <v>0</v>
      </c>
      <c r="R237" s="672">
        <f t="shared" si="66"/>
        <v>0</v>
      </c>
      <c r="S237" s="672">
        <f t="shared" si="66"/>
        <v>0</v>
      </c>
      <c r="T237" s="672">
        <f t="shared" si="66"/>
        <v>0</v>
      </c>
      <c r="U237" s="672">
        <f t="shared" si="66"/>
        <v>0</v>
      </c>
    </row>
    <row r="238" spans="1:21" s="59" customFormat="1" ht="15.75">
      <c r="A238" s="769"/>
      <c r="B238" s="656"/>
      <c r="C238" s="404"/>
      <c r="D238" s="641"/>
      <c r="E238" s="405"/>
      <c r="F238" s="690"/>
      <c r="G238" s="679"/>
      <c r="H238" s="679"/>
      <c r="I238" s="679"/>
      <c r="J238" s="679"/>
      <c r="K238" s="679"/>
      <c r="L238" s="679"/>
      <c r="M238" s="679"/>
      <c r="N238" s="679"/>
      <c r="O238" s="679"/>
      <c r="P238" s="679"/>
      <c r="Q238" s="679"/>
      <c r="R238" s="679"/>
      <c r="S238" s="442"/>
      <c r="T238" s="442"/>
      <c r="U238" s="454"/>
    </row>
    <row r="239" spans="1:21" s="261" customFormat="1" ht="15.75">
      <c r="A239" s="362" t="s">
        <v>282</v>
      </c>
      <c r="B239" s="611" t="s">
        <v>283</v>
      </c>
      <c r="C239" s="258"/>
      <c r="D239" s="258"/>
      <c r="E239" s="259"/>
      <c r="F239" s="666">
        <f>0.02*F$32</f>
        <v>19.448</v>
      </c>
      <c r="G239" s="666">
        <f>0.02*G$32</f>
        <v>8.58</v>
      </c>
      <c r="H239" s="666">
        <f>0.01*H$32</f>
        <v>4.29</v>
      </c>
      <c r="I239" s="666"/>
      <c r="J239" s="666"/>
      <c r="K239" s="666">
        <f>0.01*K$32</f>
        <v>4.29</v>
      </c>
      <c r="L239" s="666"/>
      <c r="M239" s="666"/>
      <c r="N239" s="666"/>
      <c r="O239" s="666"/>
      <c r="P239" s="666">
        <f>0.05*P$32</f>
        <v>5.7200000000000006</v>
      </c>
      <c r="Q239" s="666">
        <f>0.02*Q$32</f>
        <v>25.740000000000002</v>
      </c>
      <c r="R239" s="666">
        <f>0.02*R$32</f>
        <v>25.740000000000002</v>
      </c>
      <c r="S239" s="666">
        <f>TRUNC(0.02*S$32)</f>
        <v>0</v>
      </c>
      <c r="T239" s="666">
        <f>TRUNC(0.02*T$32)</f>
        <v>0</v>
      </c>
      <c r="U239" s="666">
        <f>TRUNC(0.02*U$32)</f>
        <v>0</v>
      </c>
    </row>
    <row r="240" spans="1:21" s="369" customFormat="1" ht="15.75">
      <c r="A240" s="657" t="s">
        <v>284</v>
      </c>
      <c r="B240" s="658" t="s">
        <v>99</v>
      </c>
      <c r="C240" s="428"/>
      <c r="D240" s="430" t="s">
        <v>890</v>
      </c>
      <c r="E240" s="431"/>
      <c r="F240" s="681">
        <f>0.5*$F$239</f>
        <v>9.7240000000000002</v>
      </c>
      <c r="G240" s="681">
        <f>0.5*$G$239</f>
        <v>4.29</v>
      </c>
      <c r="H240" s="684">
        <f>1*H239</f>
        <v>4.29</v>
      </c>
      <c r="I240" s="676"/>
      <c r="J240" s="676"/>
      <c r="K240" s="676"/>
      <c r="L240" s="676"/>
      <c r="M240" s="461"/>
      <c r="N240" s="461"/>
      <c r="O240" s="461"/>
      <c r="P240" s="686">
        <f>1*P239</f>
        <v>5.7200000000000006</v>
      </c>
      <c r="Q240" s="681"/>
      <c r="R240" s="681"/>
      <c r="S240" s="463"/>
      <c r="T240" s="463"/>
      <c r="U240" s="441"/>
    </row>
    <row r="241" spans="1:24" s="369" customFormat="1" ht="15.75">
      <c r="A241" s="657" t="s">
        <v>285</v>
      </c>
      <c r="B241" s="658" t="s">
        <v>105</v>
      </c>
      <c r="C241" s="434"/>
      <c r="D241" s="430" t="s">
        <v>890</v>
      </c>
      <c r="E241" s="435"/>
      <c r="F241" s="681">
        <f>0.5*$F$239</f>
        <v>9.7240000000000002</v>
      </c>
      <c r="G241" s="681">
        <f>0.5*$G$239</f>
        <v>4.29</v>
      </c>
      <c r="H241" s="681"/>
      <c r="I241" s="681"/>
      <c r="J241" s="681"/>
      <c r="K241" s="681">
        <f>1*K239</f>
        <v>4.29</v>
      </c>
      <c r="L241" s="681"/>
      <c r="M241" s="677"/>
      <c r="N241" s="677"/>
      <c r="O241" s="677"/>
      <c r="P241" s="686"/>
      <c r="Q241" s="677">
        <f>1*Q239</f>
        <v>25.740000000000002</v>
      </c>
      <c r="R241" s="677">
        <f>1*R239</f>
        <v>25.740000000000002</v>
      </c>
      <c r="S241" s="460"/>
      <c r="T241" s="460"/>
      <c r="U241" s="441"/>
      <c r="V241" s="432"/>
      <c r="W241" s="432"/>
      <c r="X241" s="432"/>
    </row>
    <row r="242" spans="1:24" s="245" customFormat="1" ht="15.75">
      <c r="A242" s="242"/>
      <c r="B242" s="610"/>
      <c r="C242" s="243"/>
      <c r="D242" s="243"/>
      <c r="E242" s="244"/>
      <c r="F242" s="672">
        <f t="shared" ref="F242:U242" si="67">F239-SUM(F240:F241)</f>
        <v>0</v>
      </c>
      <c r="G242" s="672">
        <f t="shared" si="67"/>
        <v>0</v>
      </c>
      <c r="H242" s="672">
        <f t="shared" si="67"/>
        <v>0</v>
      </c>
      <c r="I242" s="672">
        <f t="shared" si="67"/>
        <v>0</v>
      </c>
      <c r="J242" s="672">
        <f t="shared" si="67"/>
        <v>0</v>
      </c>
      <c r="K242" s="672">
        <f t="shared" si="67"/>
        <v>0</v>
      </c>
      <c r="L242" s="672">
        <f t="shared" si="67"/>
        <v>0</v>
      </c>
      <c r="M242" s="672">
        <f t="shared" si="67"/>
        <v>0</v>
      </c>
      <c r="N242" s="672">
        <f t="shared" si="67"/>
        <v>0</v>
      </c>
      <c r="O242" s="672">
        <f t="shared" si="67"/>
        <v>0</v>
      </c>
      <c r="P242" s="672">
        <f t="shared" si="67"/>
        <v>0</v>
      </c>
      <c r="Q242" s="672">
        <f t="shared" si="67"/>
        <v>0</v>
      </c>
      <c r="R242" s="672">
        <f t="shared" si="67"/>
        <v>0</v>
      </c>
      <c r="S242" s="672">
        <f t="shared" si="67"/>
        <v>0</v>
      </c>
      <c r="T242" s="672">
        <f t="shared" si="67"/>
        <v>0</v>
      </c>
      <c r="U242" s="672">
        <f t="shared" si="67"/>
        <v>0</v>
      </c>
    </row>
    <row r="243" spans="1:24" s="59" customFormat="1" ht="15.75">
      <c r="A243" s="769"/>
      <c r="B243" s="656"/>
      <c r="C243" s="768"/>
      <c r="D243" s="641"/>
      <c r="E243" s="405"/>
      <c r="F243" s="438"/>
      <c r="G243" s="676"/>
      <c r="H243" s="676"/>
      <c r="I243" s="676"/>
      <c r="J243" s="676"/>
      <c r="K243" s="676"/>
      <c r="L243" s="676"/>
      <c r="M243" s="461"/>
      <c r="N243" s="279"/>
      <c r="O243" s="279"/>
      <c r="P243" s="279"/>
      <c r="Q243" s="279"/>
      <c r="R243" s="279"/>
      <c r="S243" s="462"/>
      <c r="T243" s="462"/>
      <c r="U243" s="454"/>
      <c r="V243" s="766"/>
      <c r="W243" s="766"/>
      <c r="X243" s="766"/>
    </row>
    <row r="244" spans="1:24" s="256" customFormat="1" ht="15.75">
      <c r="A244" s="363" t="s">
        <v>286</v>
      </c>
      <c r="B244" s="612" t="s">
        <v>287</v>
      </c>
      <c r="C244" s="255"/>
      <c r="D244" s="233"/>
      <c r="E244" s="254"/>
      <c r="F244" s="666">
        <f>0.015*F$32</f>
        <v>14.585999999999999</v>
      </c>
      <c r="G244" s="666">
        <f>0.01*G$32</f>
        <v>4.29</v>
      </c>
      <c r="H244" s="666">
        <f>0.01*H$32</f>
        <v>4.29</v>
      </c>
      <c r="I244" s="666"/>
      <c r="J244" s="666">
        <f>0.005*J$32</f>
        <v>2.145</v>
      </c>
      <c r="K244" s="666">
        <f>0.01*K$32</f>
        <v>4.29</v>
      </c>
      <c r="L244" s="666"/>
      <c r="M244" s="666"/>
      <c r="N244" s="666"/>
      <c r="O244" s="666"/>
      <c r="P244" s="666"/>
      <c r="Q244" s="666">
        <f>0.02*Q$32</f>
        <v>25.740000000000002</v>
      </c>
      <c r="R244" s="666">
        <f>0.015*R$32</f>
        <v>19.305</v>
      </c>
      <c r="S244" s="666">
        <f>TRUNC(0.02*S$32)</f>
        <v>0</v>
      </c>
      <c r="T244" s="666">
        <f>TRUNC(0.02*T$32)</f>
        <v>0</v>
      </c>
      <c r="U244" s="666">
        <f>TRUNC(0.02*U$32)</f>
        <v>0</v>
      </c>
    </row>
    <row r="245" spans="1:24" s="47" customFormat="1" ht="15.75">
      <c r="A245" s="426" t="s">
        <v>288</v>
      </c>
      <c r="B245" s="658" t="s">
        <v>99</v>
      </c>
      <c r="C245" s="396"/>
      <c r="D245" s="641" t="s">
        <v>890</v>
      </c>
      <c r="E245" s="397"/>
      <c r="F245" s="691">
        <f>0.5*$F$244</f>
        <v>7.2929999999999993</v>
      </c>
      <c r="G245" s="691">
        <f>0.5*$G$244</f>
        <v>2.145</v>
      </c>
      <c r="H245" s="681">
        <f>1*H244</f>
        <v>4.29</v>
      </c>
      <c r="I245" s="681"/>
      <c r="J245" s="681"/>
      <c r="K245" s="681">
        <f>1*K244</f>
        <v>4.29</v>
      </c>
      <c r="L245" s="681"/>
      <c r="M245" s="677"/>
      <c r="N245" s="678"/>
      <c r="O245" s="678"/>
      <c r="P245" s="678"/>
      <c r="Q245" s="678"/>
      <c r="R245" s="678"/>
      <c r="S245" s="327"/>
      <c r="T245" s="327"/>
      <c r="U245" s="454"/>
      <c r="V245" s="766"/>
      <c r="W245" s="766"/>
      <c r="X245" s="766"/>
    </row>
    <row r="246" spans="1:24" s="59" customFormat="1" ht="15.75">
      <c r="A246" s="426" t="s">
        <v>289</v>
      </c>
      <c r="B246" s="656" t="s">
        <v>105</v>
      </c>
      <c r="C246" s="396"/>
      <c r="D246" s="641" t="s">
        <v>890</v>
      </c>
      <c r="E246" s="397"/>
      <c r="F246" s="691">
        <f>0.5*$F$244</f>
        <v>7.2929999999999993</v>
      </c>
      <c r="G246" s="691">
        <f>0.5*$G$244</f>
        <v>2.145</v>
      </c>
      <c r="H246" s="681"/>
      <c r="I246" s="681"/>
      <c r="J246" s="681">
        <f>1*J244</f>
        <v>2.145</v>
      </c>
      <c r="K246" s="681"/>
      <c r="L246" s="681"/>
      <c r="M246" s="677"/>
      <c r="N246" s="678"/>
      <c r="O246" s="678"/>
      <c r="P246" s="678"/>
      <c r="Q246" s="678">
        <f>1*Q244</f>
        <v>25.740000000000002</v>
      </c>
      <c r="R246" s="678">
        <f>1*R244</f>
        <v>19.305</v>
      </c>
      <c r="S246" s="327"/>
      <c r="T246" s="327"/>
      <c r="U246" s="454"/>
      <c r="V246" s="766"/>
      <c r="W246" s="766"/>
      <c r="X246" s="766"/>
    </row>
    <row r="247" spans="1:24" s="245" customFormat="1" ht="15.75">
      <c r="A247" s="242"/>
      <c r="B247" s="610"/>
      <c r="C247" s="243"/>
      <c r="D247" s="243"/>
      <c r="E247" s="244"/>
      <c r="F247" s="672">
        <f t="shared" ref="F247:U247" si="68">F244-SUM(F245:F246)</f>
        <v>0</v>
      </c>
      <c r="G247" s="672">
        <f>G244-SUM(G245:G246)</f>
        <v>0</v>
      </c>
      <c r="H247" s="672">
        <f t="shared" si="68"/>
        <v>0</v>
      </c>
      <c r="I247" s="672">
        <f t="shared" si="68"/>
        <v>0</v>
      </c>
      <c r="J247" s="672">
        <f>J244-SUM(J245:J246)</f>
        <v>0</v>
      </c>
      <c r="K247" s="672">
        <f>K244-SUM(K245:K246)</f>
        <v>0</v>
      </c>
      <c r="L247" s="672">
        <f t="shared" si="68"/>
        <v>0</v>
      </c>
      <c r="M247" s="672">
        <f t="shared" si="68"/>
        <v>0</v>
      </c>
      <c r="N247" s="672">
        <f t="shared" si="68"/>
        <v>0</v>
      </c>
      <c r="O247" s="672">
        <f t="shared" si="68"/>
        <v>0</v>
      </c>
      <c r="P247" s="672">
        <f t="shared" si="68"/>
        <v>0</v>
      </c>
      <c r="Q247" s="672">
        <f t="shared" si="68"/>
        <v>0</v>
      </c>
      <c r="R247" s="672">
        <f t="shared" si="68"/>
        <v>0</v>
      </c>
      <c r="S247" s="672">
        <f t="shared" si="68"/>
        <v>0</v>
      </c>
      <c r="T247" s="672">
        <f t="shared" si="68"/>
        <v>0</v>
      </c>
      <c r="U247" s="672">
        <f t="shared" si="68"/>
        <v>0</v>
      </c>
    </row>
    <row r="248" spans="1:24" s="59" customFormat="1" ht="15.75">
      <c r="A248" s="769"/>
      <c r="B248" s="656"/>
      <c r="C248" s="404"/>
      <c r="D248" s="641"/>
      <c r="E248" s="405"/>
      <c r="F248" s="690"/>
      <c r="G248" s="679"/>
      <c r="H248" s="679"/>
      <c r="I248" s="679"/>
      <c r="J248" s="679"/>
      <c r="K248" s="679"/>
      <c r="L248" s="679"/>
      <c r="M248" s="679"/>
      <c r="N248" s="679"/>
      <c r="O248" s="679"/>
      <c r="P248" s="679"/>
      <c r="Q248" s="679"/>
      <c r="R248" s="679"/>
      <c r="S248" s="442"/>
      <c r="T248" s="442"/>
      <c r="U248" s="454"/>
      <c r="V248" s="766"/>
      <c r="W248" s="766"/>
      <c r="X248" s="766"/>
    </row>
    <row r="249" spans="1:24" s="305" customFormat="1" ht="15.75">
      <c r="A249" s="231" t="s">
        <v>290</v>
      </c>
      <c r="B249" s="609" t="s">
        <v>291</v>
      </c>
      <c r="C249" s="232"/>
      <c r="D249" s="227"/>
      <c r="E249" s="228"/>
      <c r="F249" s="666"/>
      <c r="G249" s="666"/>
      <c r="H249" s="666">
        <f>0.051*H$32</f>
        <v>21.878999999999998</v>
      </c>
      <c r="I249" s="666"/>
      <c r="J249" s="666">
        <f>0.05*J$32</f>
        <v>21.450000000000003</v>
      </c>
      <c r="K249" s="666">
        <f>0.051*K$32</f>
        <v>21.878999999999998</v>
      </c>
      <c r="L249" s="666"/>
      <c r="M249" s="666">
        <f>0.017*M$32</f>
        <v>7.2930000000000001</v>
      </c>
      <c r="N249" s="666"/>
      <c r="O249" s="666">
        <f>0.017*O$32</f>
        <v>7.2930000000000001</v>
      </c>
      <c r="P249" s="666"/>
      <c r="Q249" s="666"/>
      <c r="R249" s="666"/>
      <c r="S249" s="666">
        <f>TRUNC(0.02*S$32)</f>
        <v>0</v>
      </c>
      <c r="T249" s="666">
        <f>TRUNC(0.02*T$32)</f>
        <v>0</v>
      </c>
      <c r="U249" s="666">
        <f>TRUNC(0.02*U$32)</f>
        <v>0</v>
      </c>
    </row>
    <row r="250" spans="1:24" s="59" customFormat="1" ht="15.75">
      <c r="A250" s="769" t="s">
        <v>292</v>
      </c>
      <c r="B250" s="656" t="s">
        <v>293</v>
      </c>
      <c r="C250" s="404"/>
      <c r="D250" s="641" t="s">
        <v>890</v>
      </c>
      <c r="E250" s="405"/>
      <c r="F250" s="690"/>
      <c r="G250" s="679"/>
      <c r="H250" s="679">
        <f>1*H249</f>
        <v>21.878999999999998</v>
      </c>
      <c r="I250" s="679"/>
      <c r="J250" s="679">
        <f>1*J249</f>
        <v>21.450000000000003</v>
      </c>
      <c r="K250" s="679">
        <f>1*K249</f>
        <v>21.878999999999998</v>
      </c>
      <c r="L250" s="679"/>
      <c r="M250" s="679">
        <f>1*M249</f>
        <v>7.2930000000000001</v>
      </c>
      <c r="N250" s="679"/>
      <c r="O250" s="679">
        <f>1*O249</f>
        <v>7.2930000000000001</v>
      </c>
      <c r="P250" s="679"/>
      <c r="Q250" s="679"/>
      <c r="R250" s="679"/>
      <c r="S250" s="442"/>
      <c r="T250" s="442"/>
      <c r="U250" s="454"/>
      <c r="V250" s="766"/>
      <c r="W250" s="766"/>
      <c r="X250" s="766"/>
    </row>
    <row r="251" spans="1:24" s="59" customFormat="1" ht="15.75">
      <c r="A251" s="769"/>
      <c r="B251" s="656"/>
      <c r="C251" s="404"/>
      <c r="D251" s="641"/>
      <c r="E251" s="405"/>
      <c r="F251" s="690"/>
      <c r="G251" s="679"/>
      <c r="H251" s="679"/>
      <c r="I251" s="679"/>
      <c r="J251" s="679"/>
      <c r="K251" s="679"/>
      <c r="L251" s="679"/>
      <c r="M251" s="679"/>
      <c r="N251" s="679"/>
      <c r="O251" s="679"/>
      <c r="P251" s="679"/>
      <c r="Q251" s="679"/>
      <c r="R251" s="679"/>
      <c r="S251" s="442"/>
      <c r="T251" s="442"/>
      <c r="U251" s="454"/>
      <c r="V251" s="766"/>
      <c r="W251" s="766"/>
      <c r="X251" s="766"/>
    </row>
    <row r="252" spans="1:24" s="230" customFormat="1" ht="16.5" customHeight="1">
      <c r="A252" s="231"/>
      <c r="B252" s="609" t="s">
        <v>901</v>
      </c>
      <c r="C252" s="376"/>
      <c r="D252" s="227" t="s">
        <v>902</v>
      </c>
      <c r="E252" s="228"/>
      <c r="F252" s="666">
        <f>F12*0.13</f>
        <v>972.4</v>
      </c>
      <c r="G252" s="666">
        <f t="shared" ref="G252:R252" si="69">G12*0.13</f>
        <v>429</v>
      </c>
      <c r="H252" s="666">
        <f t="shared" si="69"/>
        <v>429</v>
      </c>
      <c r="I252" s="666">
        <f t="shared" si="69"/>
        <v>858</v>
      </c>
      <c r="J252" s="666">
        <f t="shared" si="69"/>
        <v>429</v>
      </c>
      <c r="K252" s="666">
        <f t="shared" si="69"/>
        <v>429</v>
      </c>
      <c r="L252" s="666">
        <f t="shared" si="69"/>
        <v>858</v>
      </c>
      <c r="M252" s="666">
        <f t="shared" si="69"/>
        <v>429</v>
      </c>
      <c r="N252" s="666">
        <f t="shared" si="69"/>
        <v>429</v>
      </c>
      <c r="O252" s="666">
        <f t="shared" si="69"/>
        <v>429</v>
      </c>
      <c r="P252" s="666">
        <f t="shared" si="69"/>
        <v>114.4</v>
      </c>
      <c r="Q252" s="666">
        <f t="shared" si="69"/>
        <v>1287</v>
      </c>
      <c r="R252" s="666">
        <f t="shared" si="69"/>
        <v>1287</v>
      </c>
      <c r="S252" s="229"/>
      <c r="T252" s="229"/>
      <c r="U252" s="250"/>
      <c r="W252" s="237"/>
      <c r="X252" s="237"/>
    </row>
    <row r="253" spans="1:24" s="59" customFormat="1" ht="15.75">
      <c r="A253" s="769"/>
      <c r="B253" s="656"/>
      <c r="C253" s="404"/>
      <c r="D253" s="641"/>
      <c r="E253" s="405"/>
      <c r="F253" s="690"/>
      <c r="G253" s="679"/>
      <c r="H253" s="679"/>
      <c r="I253" s="679"/>
      <c r="J253" s="679"/>
      <c r="K253" s="679"/>
      <c r="L253" s="679"/>
      <c r="M253" s="679"/>
      <c r="N253" s="679"/>
      <c r="O253" s="679"/>
      <c r="P253" s="679"/>
      <c r="Q253" s="679"/>
      <c r="R253" s="679"/>
      <c r="S253" s="442"/>
      <c r="T253" s="442"/>
      <c r="U253" s="454"/>
      <c r="V253" s="766"/>
      <c r="W253" s="766"/>
      <c r="X253" s="766"/>
    </row>
    <row r="254" spans="1:24" s="248" customFormat="1" ht="15.75">
      <c r="A254" s="246"/>
      <c r="B254" s="608"/>
      <c r="C254" s="321"/>
      <c r="D254" s="294" t="s">
        <v>902</v>
      </c>
      <c r="E254" s="247"/>
      <c r="F254" s="667">
        <f t="shared" ref="F254:U254" si="70">F249+F244+F239+F232+F226+F219+F211+F204+F198+F192+F186+F178+F169+F162+F154+F148+F142+F136+F129+F122+F116+F107+F101+F95+F80+F75+F70+F65+F57+F50+F34</f>
        <v>972.4000000000002</v>
      </c>
      <c r="G254" s="667">
        <f t="shared" si="70"/>
        <v>429.00000000000006</v>
      </c>
      <c r="H254" s="667">
        <f>H249+H244+H239+H232+H226+H219+H211+H204+H198+H192+H186+H178+H169+H162+H154+H148+H142+H136+H129+H122+H116+H107+H101+H95+H80+H75+H70+H65+H57+H50+H34</f>
        <v>429.00000000000023</v>
      </c>
      <c r="I254" s="667">
        <f>I249+I244+I239+I232+I226+I219+I211+I204+I198+I192+I186+I178+I169+I162+I154+I148+I142+I136+I129+I122+I116+I107+I101+I95+I80+I75+I70+I65+I57+I50+I34</f>
        <v>858</v>
      </c>
      <c r="J254" s="667">
        <f t="shared" si="70"/>
        <v>429</v>
      </c>
      <c r="K254" s="667">
        <f t="shared" si="70"/>
        <v>429.00000000000023</v>
      </c>
      <c r="L254" s="667">
        <f t="shared" si="70"/>
        <v>858</v>
      </c>
      <c r="M254" s="667">
        <f t="shared" si="70"/>
        <v>429</v>
      </c>
      <c r="N254" s="667">
        <f t="shared" si="70"/>
        <v>429</v>
      </c>
      <c r="O254" s="667">
        <f t="shared" si="70"/>
        <v>429</v>
      </c>
      <c r="P254" s="667">
        <f t="shared" si="70"/>
        <v>114.4</v>
      </c>
      <c r="Q254" s="667">
        <f t="shared" si="70"/>
        <v>1287.0000000000002</v>
      </c>
      <c r="R254" s="667">
        <f t="shared" si="70"/>
        <v>1287.0000000000002</v>
      </c>
      <c r="S254" s="667">
        <f t="shared" si="70"/>
        <v>0</v>
      </c>
      <c r="T254" s="667">
        <f t="shared" si="70"/>
        <v>0</v>
      </c>
      <c r="U254" s="667">
        <f t="shared" si="70"/>
        <v>0</v>
      </c>
    </row>
    <row r="255" spans="1:24" s="98" customFormat="1" ht="15.75">
      <c r="A255" s="90"/>
      <c r="B255" s="590"/>
      <c r="C255" s="404"/>
      <c r="D255" s="91"/>
      <c r="E255" s="241"/>
      <c r="F255" s="690"/>
      <c r="G255" s="679"/>
      <c r="H255" s="679"/>
      <c r="I255" s="679"/>
      <c r="J255" s="679"/>
      <c r="K255" s="679"/>
      <c r="L255" s="679"/>
      <c r="M255" s="679"/>
      <c r="N255" s="679"/>
      <c r="O255" s="679"/>
      <c r="P255" s="679"/>
      <c r="Q255" s="679"/>
      <c r="R255" s="679"/>
      <c r="S255" s="442"/>
      <c r="T255" s="442"/>
      <c r="U255" s="454"/>
    </row>
    <row r="256" spans="1:24" s="267" customFormat="1" ht="15.75">
      <c r="A256" s="264"/>
      <c r="B256" s="607"/>
      <c r="C256" s="333"/>
      <c r="D256" s="265"/>
      <c r="E256" s="266"/>
      <c r="F256" s="653">
        <f>F252-F254</f>
        <v>0</v>
      </c>
      <c r="G256" s="653">
        <f>G252-G254</f>
        <v>0</v>
      </c>
      <c r="H256" s="653">
        <f>H252-H254</f>
        <v>0</v>
      </c>
      <c r="I256" s="653">
        <f t="shared" ref="I256:U256" si="71">I252-I254</f>
        <v>0</v>
      </c>
      <c r="J256" s="653">
        <f t="shared" si="71"/>
        <v>0</v>
      </c>
      <c r="K256" s="653">
        <f t="shared" si="71"/>
        <v>0</v>
      </c>
      <c r="L256" s="653">
        <f t="shared" si="71"/>
        <v>0</v>
      </c>
      <c r="M256" s="653">
        <f>M252-M254</f>
        <v>0</v>
      </c>
      <c r="N256" s="653">
        <f t="shared" si="71"/>
        <v>0</v>
      </c>
      <c r="O256" s="653">
        <f t="shared" si="71"/>
        <v>0</v>
      </c>
      <c r="P256" s="653">
        <f>P252-P254</f>
        <v>0</v>
      </c>
      <c r="Q256" s="653">
        <f t="shared" si="71"/>
        <v>0</v>
      </c>
      <c r="R256" s="653">
        <f t="shared" si="71"/>
        <v>0</v>
      </c>
      <c r="S256" s="653">
        <f t="shared" si="71"/>
        <v>0</v>
      </c>
      <c r="T256" s="653">
        <f t="shared" si="71"/>
        <v>0</v>
      </c>
      <c r="U256" s="653">
        <f t="shared" si="71"/>
        <v>0</v>
      </c>
    </row>
    <row r="257" spans="1:21" s="59" customFormat="1" ht="15.75">
      <c r="A257" s="769"/>
      <c r="B257" s="656"/>
      <c r="C257" s="404"/>
      <c r="D257" s="641"/>
      <c r="E257" s="405"/>
      <c r="F257" s="690"/>
      <c r="G257" s="679"/>
      <c r="H257" s="679"/>
      <c r="I257" s="679"/>
      <c r="J257" s="679"/>
      <c r="K257" s="679"/>
      <c r="L257" s="679"/>
      <c r="M257" s="679"/>
      <c r="N257" s="679"/>
      <c r="O257" s="679"/>
      <c r="P257" s="679"/>
      <c r="Q257" s="679"/>
      <c r="R257" s="679"/>
      <c r="S257" s="442"/>
      <c r="T257" s="442"/>
      <c r="U257" s="454"/>
    </row>
    <row r="258" spans="1:21" s="270" customFormat="1" ht="15.75">
      <c r="A258" s="413" t="s">
        <v>295</v>
      </c>
      <c r="B258" s="619" t="s">
        <v>296</v>
      </c>
      <c r="C258" s="304">
        <v>0.41</v>
      </c>
      <c r="D258" s="414"/>
      <c r="E258" s="415"/>
      <c r="F258" s="665">
        <f>0.41*F12</f>
        <v>3066.7999999999997</v>
      </c>
      <c r="G258" s="665">
        <f t="shared" ref="G258:R258" si="72">0.41*G12</f>
        <v>1353</v>
      </c>
      <c r="H258" s="665">
        <f t="shared" si="72"/>
        <v>1353</v>
      </c>
      <c r="I258" s="665">
        <f t="shared" si="72"/>
        <v>2706</v>
      </c>
      <c r="J258" s="665">
        <f t="shared" si="72"/>
        <v>1353</v>
      </c>
      <c r="K258" s="665">
        <f t="shared" si="72"/>
        <v>1353</v>
      </c>
      <c r="L258" s="665">
        <f t="shared" si="72"/>
        <v>2706</v>
      </c>
      <c r="M258" s="665">
        <f t="shared" si="72"/>
        <v>1353</v>
      </c>
      <c r="N258" s="665">
        <f t="shared" si="72"/>
        <v>1353</v>
      </c>
      <c r="O258" s="665">
        <f t="shared" si="72"/>
        <v>1353</v>
      </c>
      <c r="P258" s="665">
        <f t="shared" si="72"/>
        <v>360.79999999999995</v>
      </c>
      <c r="Q258" s="665">
        <f t="shared" si="72"/>
        <v>4058.9999999999995</v>
      </c>
      <c r="R258" s="665">
        <f t="shared" si="72"/>
        <v>4058.9999999999995</v>
      </c>
      <c r="S258" s="665">
        <v>0</v>
      </c>
      <c r="T258" s="665">
        <v>0</v>
      </c>
      <c r="U258" s="665">
        <v>0</v>
      </c>
    </row>
    <row r="259" spans="1:21" s="59" customFormat="1" ht="15.75">
      <c r="A259" s="769"/>
      <c r="B259" s="606"/>
      <c r="C259" s="404"/>
      <c r="D259" s="641"/>
      <c r="E259" s="405"/>
      <c r="F259" s="690"/>
      <c r="G259" s="690"/>
      <c r="H259" s="690"/>
      <c r="I259" s="690"/>
      <c r="J259" s="690"/>
      <c r="K259" s="690"/>
      <c r="L259" s="690"/>
      <c r="M259" s="690"/>
      <c r="N259" s="690"/>
      <c r="O259" s="690"/>
      <c r="P259" s="690"/>
      <c r="Q259" s="690"/>
      <c r="R259" s="690"/>
      <c r="S259" s="442"/>
      <c r="T259" s="442"/>
      <c r="U259" s="454"/>
    </row>
    <row r="260" spans="1:21" s="288" customFormat="1" ht="15.75">
      <c r="A260" s="417" t="s">
        <v>297</v>
      </c>
      <c r="B260" s="617" t="s">
        <v>298</v>
      </c>
      <c r="C260" s="427"/>
      <c r="D260" s="398"/>
      <c r="E260" s="399"/>
      <c r="F260" s="669">
        <f>0.15*F258</f>
        <v>460.01999999999992</v>
      </c>
      <c r="G260" s="669">
        <f t="shared" ref="G260:R260" si="73">0.15*G258</f>
        <v>202.95</v>
      </c>
      <c r="H260" s="669">
        <f t="shared" si="73"/>
        <v>202.95</v>
      </c>
      <c r="I260" s="669">
        <f t="shared" si="73"/>
        <v>405.9</v>
      </c>
      <c r="J260" s="669">
        <f t="shared" si="73"/>
        <v>202.95</v>
      </c>
      <c r="K260" s="669">
        <f t="shared" si="73"/>
        <v>202.95</v>
      </c>
      <c r="L260" s="669">
        <f t="shared" si="73"/>
        <v>405.9</v>
      </c>
      <c r="M260" s="669">
        <f t="shared" si="73"/>
        <v>202.95</v>
      </c>
      <c r="N260" s="669">
        <f t="shared" si="73"/>
        <v>202.95</v>
      </c>
      <c r="O260" s="669">
        <f t="shared" si="73"/>
        <v>202.95</v>
      </c>
      <c r="P260" s="669">
        <f t="shared" si="73"/>
        <v>54.11999999999999</v>
      </c>
      <c r="Q260" s="669">
        <f t="shared" si="73"/>
        <v>608.84999999999991</v>
      </c>
      <c r="R260" s="669">
        <f t="shared" si="73"/>
        <v>608.84999999999991</v>
      </c>
      <c r="S260" s="669">
        <f t="shared" ref="S260:U260" si="74">TRUNC(0.15*S258)</f>
        <v>0</v>
      </c>
      <c r="T260" s="669">
        <f t="shared" si="74"/>
        <v>0</v>
      </c>
      <c r="U260" s="669">
        <f t="shared" si="74"/>
        <v>0</v>
      </c>
    </row>
    <row r="261" spans="1:21" s="626" customFormat="1" ht="31.5">
      <c r="A261" s="697" t="s">
        <v>299</v>
      </c>
      <c r="B261" s="697" t="s">
        <v>903</v>
      </c>
      <c r="C261" s="698"/>
      <c r="D261" s="629" t="s">
        <v>890</v>
      </c>
      <c r="E261" s="628"/>
      <c r="F261" s="639">
        <f>0.09*F$260</f>
        <v>41.401799999999994</v>
      </c>
      <c r="G261" s="639">
        <f t="shared" ref="G261:R261" si="75">0.09*G$260</f>
        <v>18.265499999999999</v>
      </c>
      <c r="H261" s="639">
        <f t="shared" si="75"/>
        <v>18.265499999999999</v>
      </c>
      <c r="I261" s="639">
        <f t="shared" si="75"/>
        <v>36.530999999999999</v>
      </c>
      <c r="J261" s="639">
        <f t="shared" si="75"/>
        <v>18.265499999999999</v>
      </c>
      <c r="K261" s="639">
        <f>0.09*K$260</f>
        <v>18.265499999999999</v>
      </c>
      <c r="L261" s="639">
        <f t="shared" si="75"/>
        <v>36.530999999999999</v>
      </c>
      <c r="M261" s="639">
        <f t="shared" si="75"/>
        <v>18.265499999999999</v>
      </c>
      <c r="N261" s="639">
        <f t="shared" si="75"/>
        <v>18.265499999999999</v>
      </c>
      <c r="O261" s="639">
        <f t="shared" si="75"/>
        <v>18.265499999999999</v>
      </c>
      <c r="P261" s="639">
        <f t="shared" si="75"/>
        <v>4.8707999999999991</v>
      </c>
      <c r="Q261" s="639">
        <f t="shared" si="75"/>
        <v>54.796499999999988</v>
      </c>
      <c r="R261" s="639">
        <f t="shared" si="75"/>
        <v>54.796499999999988</v>
      </c>
      <c r="S261" s="634"/>
      <c r="T261" s="634"/>
      <c r="U261" s="699"/>
    </row>
    <row r="262" spans="1:21" s="59" customFormat="1" ht="15.75">
      <c r="A262" s="769" t="s">
        <v>301</v>
      </c>
      <c r="B262" s="656" t="s">
        <v>302</v>
      </c>
      <c r="C262" s="559"/>
      <c r="D262" s="641" t="s">
        <v>890</v>
      </c>
      <c r="E262" s="405"/>
      <c r="F262" s="692">
        <f>0.21*F$260</f>
        <v>96.604199999999977</v>
      </c>
      <c r="G262" s="692">
        <f t="shared" ref="G262:R262" si="76">0.21*G$260</f>
        <v>42.619499999999995</v>
      </c>
      <c r="H262" s="692">
        <f t="shared" si="76"/>
        <v>42.619499999999995</v>
      </c>
      <c r="I262" s="692">
        <f t="shared" si="76"/>
        <v>85.23899999999999</v>
      </c>
      <c r="J262" s="692">
        <f t="shared" si="76"/>
        <v>42.619499999999995</v>
      </c>
      <c r="K262" s="692">
        <f t="shared" si="76"/>
        <v>42.619499999999995</v>
      </c>
      <c r="L262" s="692">
        <f t="shared" si="76"/>
        <v>85.23899999999999</v>
      </c>
      <c r="M262" s="692">
        <f t="shared" si="76"/>
        <v>42.619499999999995</v>
      </c>
      <c r="N262" s="692">
        <f t="shared" si="76"/>
        <v>42.619499999999995</v>
      </c>
      <c r="O262" s="692">
        <f t="shared" si="76"/>
        <v>42.619499999999995</v>
      </c>
      <c r="P262" s="692">
        <f t="shared" si="76"/>
        <v>11.365199999999998</v>
      </c>
      <c r="Q262" s="692">
        <f t="shared" si="76"/>
        <v>127.85849999999998</v>
      </c>
      <c r="R262" s="692">
        <f t="shared" si="76"/>
        <v>127.85849999999998</v>
      </c>
      <c r="S262" s="689"/>
      <c r="T262" s="689"/>
      <c r="U262" s="454"/>
    </row>
    <row r="263" spans="1:21" s="59" customFormat="1" ht="15.75">
      <c r="A263" s="560" t="s">
        <v>303</v>
      </c>
      <c r="B263" s="656" t="s">
        <v>304</v>
      </c>
      <c r="C263" s="404"/>
      <c r="D263" s="641" t="s">
        <v>890</v>
      </c>
      <c r="E263" s="405"/>
      <c r="F263" s="692">
        <f>0.09*F$260</f>
        <v>41.401799999999994</v>
      </c>
      <c r="G263" s="692">
        <f t="shared" ref="G263:R264" si="77">0.09*G$260</f>
        <v>18.265499999999999</v>
      </c>
      <c r="H263" s="692">
        <f t="shared" si="77"/>
        <v>18.265499999999999</v>
      </c>
      <c r="I263" s="692">
        <f t="shared" si="77"/>
        <v>36.530999999999999</v>
      </c>
      <c r="J263" s="692">
        <f t="shared" si="77"/>
        <v>18.265499999999999</v>
      </c>
      <c r="K263" s="692">
        <f t="shared" si="77"/>
        <v>18.265499999999999</v>
      </c>
      <c r="L263" s="692">
        <f t="shared" si="77"/>
        <v>36.530999999999999</v>
      </c>
      <c r="M263" s="692">
        <f t="shared" si="77"/>
        <v>18.265499999999999</v>
      </c>
      <c r="N263" s="692">
        <f t="shared" si="77"/>
        <v>18.265499999999999</v>
      </c>
      <c r="O263" s="692">
        <f t="shared" si="77"/>
        <v>18.265499999999999</v>
      </c>
      <c r="P263" s="692">
        <f t="shared" si="77"/>
        <v>4.8707999999999991</v>
      </c>
      <c r="Q263" s="692">
        <f t="shared" si="77"/>
        <v>54.796499999999988</v>
      </c>
      <c r="R263" s="692">
        <f t="shared" si="77"/>
        <v>54.796499999999988</v>
      </c>
      <c r="S263" s="689"/>
      <c r="T263" s="689"/>
      <c r="U263" s="454"/>
    </row>
    <row r="264" spans="1:21" s="59" customFormat="1" ht="15.75">
      <c r="A264" s="657" t="s">
        <v>305</v>
      </c>
      <c r="B264" s="656" t="s">
        <v>306</v>
      </c>
      <c r="C264" s="404"/>
      <c r="D264" s="641" t="s">
        <v>890</v>
      </c>
      <c r="E264" s="405"/>
      <c r="F264" s="692">
        <f>0.09*F$260</f>
        <v>41.401799999999994</v>
      </c>
      <c r="G264" s="692">
        <f t="shared" si="77"/>
        <v>18.265499999999999</v>
      </c>
      <c r="H264" s="692">
        <f t="shared" si="77"/>
        <v>18.265499999999999</v>
      </c>
      <c r="I264" s="692">
        <f t="shared" si="77"/>
        <v>36.530999999999999</v>
      </c>
      <c r="J264" s="692">
        <f t="shared" si="77"/>
        <v>18.265499999999999</v>
      </c>
      <c r="K264" s="692">
        <f t="shared" si="77"/>
        <v>18.265499999999999</v>
      </c>
      <c r="L264" s="692">
        <f t="shared" si="77"/>
        <v>36.530999999999999</v>
      </c>
      <c r="M264" s="692">
        <f t="shared" si="77"/>
        <v>18.265499999999999</v>
      </c>
      <c r="N264" s="692">
        <f t="shared" si="77"/>
        <v>18.265499999999999</v>
      </c>
      <c r="O264" s="692">
        <f t="shared" si="77"/>
        <v>18.265499999999999</v>
      </c>
      <c r="P264" s="692">
        <f t="shared" si="77"/>
        <v>4.8707999999999991</v>
      </c>
      <c r="Q264" s="692">
        <f t="shared" si="77"/>
        <v>54.796499999999988</v>
      </c>
      <c r="R264" s="692">
        <f t="shared" si="77"/>
        <v>54.796499999999988</v>
      </c>
      <c r="S264" s="689"/>
      <c r="T264" s="689"/>
      <c r="U264" s="454"/>
    </row>
    <row r="265" spans="1:21" s="59" customFormat="1" ht="15.75">
      <c r="A265" s="560" t="s">
        <v>307</v>
      </c>
      <c r="B265" s="656" t="s">
        <v>308</v>
      </c>
      <c r="C265" s="404"/>
      <c r="D265" s="641" t="s">
        <v>890</v>
      </c>
      <c r="E265" s="405"/>
      <c r="F265" s="692">
        <f t="shared" ref="F265:R266" si="78">0.07*F$260</f>
        <v>32.2014</v>
      </c>
      <c r="G265" s="692">
        <f t="shared" si="78"/>
        <v>14.2065</v>
      </c>
      <c r="H265" s="692">
        <f t="shared" si="78"/>
        <v>14.2065</v>
      </c>
      <c r="I265" s="692">
        <f t="shared" si="78"/>
        <v>28.413</v>
      </c>
      <c r="J265" s="692">
        <f t="shared" si="78"/>
        <v>14.2065</v>
      </c>
      <c r="K265" s="692">
        <f t="shared" si="78"/>
        <v>14.2065</v>
      </c>
      <c r="L265" s="692">
        <f t="shared" si="78"/>
        <v>28.413</v>
      </c>
      <c r="M265" s="692">
        <f t="shared" si="78"/>
        <v>14.2065</v>
      </c>
      <c r="N265" s="692">
        <f t="shared" si="78"/>
        <v>14.2065</v>
      </c>
      <c r="O265" s="692">
        <f t="shared" si="78"/>
        <v>14.2065</v>
      </c>
      <c r="P265" s="692">
        <f t="shared" si="78"/>
        <v>3.7883999999999998</v>
      </c>
      <c r="Q265" s="692">
        <f t="shared" si="78"/>
        <v>42.619499999999995</v>
      </c>
      <c r="R265" s="692">
        <f t="shared" si="78"/>
        <v>42.619499999999995</v>
      </c>
      <c r="S265" s="689"/>
      <c r="T265" s="689"/>
      <c r="U265" s="454"/>
    </row>
    <row r="266" spans="1:21" s="59" customFormat="1" ht="15.75">
      <c r="A266" s="769" t="s">
        <v>309</v>
      </c>
      <c r="B266" s="656" t="s">
        <v>310</v>
      </c>
      <c r="C266" s="404"/>
      <c r="D266" s="641" t="s">
        <v>890</v>
      </c>
      <c r="E266" s="405"/>
      <c r="F266" s="692">
        <f t="shared" si="78"/>
        <v>32.2014</v>
      </c>
      <c r="G266" s="692">
        <f t="shared" si="78"/>
        <v>14.2065</v>
      </c>
      <c r="H266" s="692">
        <f t="shared" si="78"/>
        <v>14.2065</v>
      </c>
      <c r="I266" s="692">
        <f t="shared" si="78"/>
        <v>28.413</v>
      </c>
      <c r="J266" s="692">
        <f t="shared" si="78"/>
        <v>14.2065</v>
      </c>
      <c r="K266" s="692">
        <f t="shared" si="78"/>
        <v>14.2065</v>
      </c>
      <c r="L266" s="692">
        <f t="shared" si="78"/>
        <v>28.413</v>
      </c>
      <c r="M266" s="692">
        <f t="shared" si="78"/>
        <v>14.2065</v>
      </c>
      <c r="N266" s="692">
        <f t="shared" si="78"/>
        <v>14.2065</v>
      </c>
      <c r="O266" s="692">
        <f t="shared" si="78"/>
        <v>14.2065</v>
      </c>
      <c r="P266" s="692">
        <f t="shared" si="78"/>
        <v>3.7883999999999998</v>
      </c>
      <c r="Q266" s="692">
        <f t="shared" si="78"/>
        <v>42.619499999999995</v>
      </c>
      <c r="R266" s="692">
        <f t="shared" si="78"/>
        <v>42.619499999999995</v>
      </c>
      <c r="S266" s="689"/>
      <c r="T266" s="689"/>
      <c r="U266" s="454"/>
    </row>
    <row r="267" spans="1:21" s="626" customFormat="1" ht="31.5">
      <c r="A267" s="697" t="s">
        <v>311</v>
      </c>
      <c r="B267" s="697" t="s">
        <v>312</v>
      </c>
      <c r="C267" s="630"/>
      <c r="D267" s="629" t="s">
        <v>890</v>
      </c>
      <c r="E267" s="628"/>
      <c r="F267" s="639">
        <f>0.09*F$260</f>
        <v>41.401799999999994</v>
      </c>
      <c r="G267" s="639">
        <f t="shared" ref="G267:R267" si="79">0.09*G$260</f>
        <v>18.265499999999999</v>
      </c>
      <c r="H267" s="639">
        <f t="shared" si="79"/>
        <v>18.265499999999999</v>
      </c>
      <c r="I267" s="639">
        <f t="shared" si="79"/>
        <v>36.530999999999999</v>
      </c>
      <c r="J267" s="639">
        <f t="shared" si="79"/>
        <v>18.265499999999999</v>
      </c>
      <c r="K267" s="639">
        <f t="shared" si="79"/>
        <v>18.265499999999999</v>
      </c>
      <c r="L267" s="639">
        <f t="shared" si="79"/>
        <v>36.530999999999999</v>
      </c>
      <c r="M267" s="639">
        <f t="shared" si="79"/>
        <v>18.265499999999999</v>
      </c>
      <c r="N267" s="639">
        <f t="shared" si="79"/>
        <v>18.265499999999999</v>
      </c>
      <c r="O267" s="639">
        <f t="shared" si="79"/>
        <v>18.265499999999999</v>
      </c>
      <c r="P267" s="639">
        <f t="shared" si="79"/>
        <v>4.8707999999999991</v>
      </c>
      <c r="Q267" s="639">
        <f t="shared" si="79"/>
        <v>54.796499999999988</v>
      </c>
      <c r="R267" s="639">
        <f t="shared" si="79"/>
        <v>54.796499999999988</v>
      </c>
      <c r="S267" s="634"/>
      <c r="T267" s="634"/>
      <c r="U267" s="699"/>
    </row>
    <row r="268" spans="1:21" s="386" customFormat="1" ht="15.75">
      <c r="A268" s="769" t="s">
        <v>313</v>
      </c>
      <c r="B268" s="656" t="s">
        <v>314</v>
      </c>
      <c r="C268" s="429"/>
      <c r="D268" s="641" t="s">
        <v>890</v>
      </c>
      <c r="E268" s="431"/>
      <c r="F268" s="692">
        <f>0.1*F$260</f>
        <v>46.001999999999995</v>
      </c>
      <c r="G268" s="692">
        <f t="shared" ref="G268:R268" si="80">0.1*G$260</f>
        <v>20.295000000000002</v>
      </c>
      <c r="H268" s="692">
        <f t="shared" si="80"/>
        <v>20.295000000000002</v>
      </c>
      <c r="I268" s="692">
        <f t="shared" si="80"/>
        <v>40.590000000000003</v>
      </c>
      <c r="J268" s="692">
        <f t="shared" si="80"/>
        <v>20.295000000000002</v>
      </c>
      <c r="K268" s="692">
        <f t="shared" si="80"/>
        <v>20.295000000000002</v>
      </c>
      <c r="L268" s="692">
        <f t="shared" si="80"/>
        <v>40.590000000000003</v>
      </c>
      <c r="M268" s="692">
        <f t="shared" si="80"/>
        <v>20.295000000000002</v>
      </c>
      <c r="N268" s="692">
        <f t="shared" si="80"/>
        <v>20.295000000000002</v>
      </c>
      <c r="O268" s="692">
        <f t="shared" si="80"/>
        <v>20.295000000000002</v>
      </c>
      <c r="P268" s="692">
        <f t="shared" si="80"/>
        <v>5.411999999999999</v>
      </c>
      <c r="Q268" s="692">
        <f t="shared" si="80"/>
        <v>60.884999999999991</v>
      </c>
      <c r="R268" s="692">
        <f t="shared" si="80"/>
        <v>60.884999999999991</v>
      </c>
      <c r="S268" s="689"/>
      <c r="T268" s="689"/>
      <c r="U268" s="441"/>
    </row>
    <row r="269" spans="1:21" s="432" customFormat="1" ht="15.75">
      <c r="A269" s="697" t="s">
        <v>315</v>
      </c>
      <c r="B269" s="695" t="s">
        <v>316</v>
      </c>
      <c r="C269" s="429"/>
      <c r="D269" s="430" t="s">
        <v>890</v>
      </c>
      <c r="E269" s="431"/>
      <c r="F269" s="692">
        <f t="shared" ref="F269:R270" si="81">0.06*F$260</f>
        <v>27.601199999999995</v>
      </c>
      <c r="G269" s="692">
        <f t="shared" si="81"/>
        <v>12.177</v>
      </c>
      <c r="H269" s="692">
        <f t="shared" si="81"/>
        <v>12.177</v>
      </c>
      <c r="I269" s="692">
        <f t="shared" si="81"/>
        <v>24.353999999999999</v>
      </c>
      <c r="J269" s="692">
        <f t="shared" si="81"/>
        <v>12.177</v>
      </c>
      <c r="K269" s="692">
        <f t="shared" si="81"/>
        <v>12.177</v>
      </c>
      <c r="L269" s="692">
        <f t="shared" si="81"/>
        <v>24.353999999999999</v>
      </c>
      <c r="M269" s="692">
        <f t="shared" si="81"/>
        <v>12.177</v>
      </c>
      <c r="N269" s="692">
        <f t="shared" si="81"/>
        <v>12.177</v>
      </c>
      <c r="O269" s="692">
        <f t="shared" si="81"/>
        <v>12.177</v>
      </c>
      <c r="P269" s="692">
        <f t="shared" si="81"/>
        <v>3.2471999999999994</v>
      </c>
      <c r="Q269" s="692">
        <f t="shared" si="81"/>
        <v>36.530999999999992</v>
      </c>
      <c r="R269" s="692">
        <f t="shared" si="81"/>
        <v>36.530999999999992</v>
      </c>
      <c r="S269" s="689"/>
      <c r="T269" s="689"/>
      <c r="U269" s="441"/>
    </row>
    <row r="270" spans="1:21" s="432" customFormat="1" ht="15.75">
      <c r="A270" s="697" t="s">
        <v>317</v>
      </c>
      <c r="B270" s="695" t="s">
        <v>318</v>
      </c>
      <c r="C270" s="429"/>
      <c r="D270" s="430" t="s">
        <v>890</v>
      </c>
      <c r="E270" s="431"/>
      <c r="F270" s="692">
        <f t="shared" si="81"/>
        <v>27.601199999999995</v>
      </c>
      <c r="G270" s="692">
        <f t="shared" si="81"/>
        <v>12.177</v>
      </c>
      <c r="H270" s="692">
        <f t="shared" si="81"/>
        <v>12.177</v>
      </c>
      <c r="I270" s="692">
        <f t="shared" si="81"/>
        <v>24.353999999999999</v>
      </c>
      <c r="J270" s="692">
        <f t="shared" si="81"/>
        <v>12.177</v>
      </c>
      <c r="K270" s="692">
        <f t="shared" si="81"/>
        <v>12.177</v>
      </c>
      <c r="L270" s="692">
        <f t="shared" si="81"/>
        <v>24.353999999999999</v>
      </c>
      <c r="M270" s="692">
        <f t="shared" si="81"/>
        <v>12.177</v>
      </c>
      <c r="N270" s="692">
        <f t="shared" si="81"/>
        <v>12.177</v>
      </c>
      <c r="O270" s="692">
        <f t="shared" si="81"/>
        <v>12.177</v>
      </c>
      <c r="P270" s="692">
        <f t="shared" si="81"/>
        <v>3.2471999999999994</v>
      </c>
      <c r="Q270" s="692">
        <f t="shared" si="81"/>
        <v>36.530999999999992</v>
      </c>
      <c r="R270" s="692">
        <f t="shared" si="81"/>
        <v>36.530999999999992</v>
      </c>
      <c r="S270" s="689"/>
      <c r="T270" s="689"/>
      <c r="U270" s="441"/>
    </row>
    <row r="271" spans="1:21" s="373" customFormat="1" ht="15.75">
      <c r="A271" s="560" t="s">
        <v>319</v>
      </c>
      <c r="B271" s="658" t="s">
        <v>320</v>
      </c>
      <c r="C271" s="428"/>
      <c r="D271" s="430" t="s">
        <v>890</v>
      </c>
      <c r="E271" s="431"/>
      <c r="F271" s="692">
        <f t="shared" ref="F271:R271" si="82">0.07*F$260</f>
        <v>32.2014</v>
      </c>
      <c r="G271" s="692">
        <f t="shared" si="82"/>
        <v>14.2065</v>
      </c>
      <c r="H271" s="692">
        <f t="shared" si="82"/>
        <v>14.2065</v>
      </c>
      <c r="I271" s="692">
        <f t="shared" si="82"/>
        <v>28.413</v>
      </c>
      <c r="J271" s="692">
        <f t="shared" si="82"/>
        <v>14.2065</v>
      </c>
      <c r="K271" s="692">
        <f t="shared" si="82"/>
        <v>14.2065</v>
      </c>
      <c r="L271" s="692">
        <f t="shared" si="82"/>
        <v>28.413</v>
      </c>
      <c r="M271" s="692">
        <f t="shared" si="82"/>
        <v>14.2065</v>
      </c>
      <c r="N271" s="692">
        <f t="shared" si="82"/>
        <v>14.2065</v>
      </c>
      <c r="O271" s="692">
        <f t="shared" si="82"/>
        <v>14.2065</v>
      </c>
      <c r="P271" s="692">
        <f t="shared" si="82"/>
        <v>3.7883999999999998</v>
      </c>
      <c r="Q271" s="692">
        <f t="shared" si="82"/>
        <v>42.619499999999995</v>
      </c>
      <c r="R271" s="692">
        <f t="shared" si="82"/>
        <v>42.619499999999995</v>
      </c>
      <c r="S271" s="689"/>
      <c r="T271" s="689"/>
      <c r="U271" s="437"/>
    </row>
    <row r="272" spans="1:21" s="240" customFormat="1" ht="16.5" customHeight="1">
      <c r="A272" s="365"/>
      <c r="B272" s="610"/>
      <c r="C272" s="320"/>
      <c r="D272" s="238"/>
      <c r="E272" s="239"/>
      <c r="F272" s="664">
        <f t="shared" ref="F272:U272" si="83">F260-SUM(F261:F271)</f>
        <v>0</v>
      </c>
      <c r="G272" s="664">
        <f t="shared" si="83"/>
        <v>0</v>
      </c>
      <c r="H272" s="664">
        <f t="shared" si="83"/>
        <v>0</v>
      </c>
      <c r="I272" s="664">
        <f t="shared" si="83"/>
        <v>0</v>
      </c>
      <c r="J272" s="664">
        <f t="shared" si="83"/>
        <v>0</v>
      </c>
      <c r="K272" s="664">
        <f t="shared" si="83"/>
        <v>0</v>
      </c>
      <c r="L272" s="664">
        <f t="shared" si="83"/>
        <v>0</v>
      </c>
      <c r="M272" s="664">
        <f t="shared" si="83"/>
        <v>0</v>
      </c>
      <c r="N272" s="664">
        <f t="shared" si="83"/>
        <v>0</v>
      </c>
      <c r="O272" s="664">
        <f t="shared" si="83"/>
        <v>0</v>
      </c>
      <c r="P272" s="664">
        <f t="shared" si="83"/>
        <v>0</v>
      </c>
      <c r="Q272" s="664">
        <f t="shared" si="83"/>
        <v>0</v>
      </c>
      <c r="R272" s="664">
        <f t="shared" si="83"/>
        <v>0</v>
      </c>
      <c r="S272" s="664">
        <f t="shared" si="83"/>
        <v>0</v>
      </c>
      <c r="T272" s="664">
        <f t="shared" si="83"/>
        <v>0</v>
      </c>
      <c r="U272" s="664">
        <f t="shared" si="83"/>
        <v>0</v>
      </c>
    </row>
    <row r="273" spans="1:21" s="284" customFormat="1" ht="16.5" customHeight="1">
      <c r="A273" s="769"/>
      <c r="B273" s="605" t="s">
        <v>904</v>
      </c>
      <c r="C273" s="404"/>
      <c r="D273" s="641"/>
      <c r="E273" s="405"/>
      <c r="F273" s="690"/>
      <c r="G273" s="690"/>
      <c r="H273" s="690"/>
      <c r="I273" s="690"/>
      <c r="J273" s="690"/>
      <c r="K273" s="690"/>
      <c r="L273" s="690"/>
      <c r="M273" s="690"/>
      <c r="N273" s="690"/>
      <c r="O273" s="690"/>
      <c r="P273" s="690"/>
      <c r="Q273" s="690"/>
      <c r="R273" s="690"/>
      <c r="S273" s="442"/>
      <c r="T273" s="442"/>
      <c r="U273" s="454"/>
    </row>
    <row r="274" spans="1:21" s="284" customFormat="1" ht="16.5" customHeight="1">
      <c r="A274" s="769"/>
      <c r="B274" s="618"/>
      <c r="C274" s="404"/>
      <c r="D274" s="641"/>
      <c r="E274" s="405"/>
      <c r="F274" s="690"/>
      <c r="G274" s="690"/>
      <c r="H274" s="690"/>
      <c r="I274" s="690"/>
      <c r="J274" s="690"/>
      <c r="K274" s="690"/>
      <c r="L274" s="690"/>
      <c r="M274" s="690"/>
      <c r="N274" s="690"/>
      <c r="O274" s="690"/>
      <c r="P274" s="690"/>
      <c r="Q274" s="690"/>
      <c r="R274" s="690"/>
      <c r="S274" s="442"/>
      <c r="T274" s="442"/>
      <c r="U274" s="454"/>
    </row>
    <row r="275" spans="1:21" s="378" customFormat="1" ht="15.75">
      <c r="A275" s="413" t="s">
        <v>322</v>
      </c>
      <c r="B275" s="619" t="s">
        <v>323</v>
      </c>
      <c r="C275" s="381"/>
      <c r="D275" s="414"/>
      <c r="E275" s="415"/>
      <c r="F275" s="665"/>
      <c r="G275" s="661"/>
      <c r="H275" s="661"/>
      <c r="I275" s="661"/>
      <c r="J275" s="661"/>
      <c r="K275" s="661"/>
      <c r="L275" s="661"/>
      <c r="M275" s="661"/>
      <c r="N275" s="661"/>
      <c r="O275" s="661"/>
      <c r="P275" s="661"/>
      <c r="Q275" s="661"/>
      <c r="R275" s="661"/>
      <c r="S275" s="379"/>
      <c r="T275" s="379"/>
      <c r="U275" s="380"/>
    </row>
    <row r="276" spans="1:21" s="59" customFormat="1" ht="15.75">
      <c r="A276" s="769"/>
      <c r="B276" s="618"/>
      <c r="C276" s="404"/>
      <c r="D276" s="641"/>
      <c r="E276" s="405"/>
      <c r="F276" s="690"/>
      <c r="G276" s="690"/>
      <c r="H276" s="690"/>
      <c r="I276" s="690"/>
      <c r="J276" s="690"/>
      <c r="K276" s="690"/>
      <c r="L276" s="690"/>
      <c r="M276" s="690"/>
      <c r="N276" s="690"/>
      <c r="O276" s="690"/>
      <c r="P276" s="690"/>
      <c r="Q276" s="690"/>
      <c r="R276" s="690"/>
      <c r="S276" s="690"/>
      <c r="T276" s="690"/>
      <c r="U276" s="690"/>
    </row>
    <row r="277" spans="1:21" s="401" customFormat="1" ht="15.75">
      <c r="A277" s="417" t="s">
        <v>324</v>
      </c>
      <c r="B277" s="693" t="s">
        <v>97</v>
      </c>
      <c r="C277" s="427"/>
      <c r="D277" s="398"/>
      <c r="E277" s="399"/>
      <c r="F277" s="820">
        <f>0.01*F258</f>
        <v>30.667999999999999</v>
      </c>
      <c r="G277" s="820">
        <f>0.02*G258</f>
        <v>27.060000000000002</v>
      </c>
      <c r="H277" s="820">
        <f>0.01*H258</f>
        <v>13.530000000000001</v>
      </c>
      <c r="I277" s="820">
        <f>0.45*I258</f>
        <v>1217.7</v>
      </c>
      <c r="J277" s="820">
        <f>0.5*J258</f>
        <v>676.5</v>
      </c>
      <c r="K277" s="820">
        <f>0.01*K258</f>
        <v>13.530000000000001</v>
      </c>
      <c r="L277" s="820">
        <f>0.01*L258</f>
        <v>27.060000000000002</v>
      </c>
      <c r="M277" s="820">
        <f>0.03*M258</f>
        <v>40.589999999999996</v>
      </c>
      <c r="N277" s="820">
        <f>0.01*N258</f>
        <v>13.530000000000001</v>
      </c>
      <c r="O277" s="820">
        <f>0.01*O258</f>
        <v>13.530000000000001</v>
      </c>
      <c r="P277" s="820"/>
      <c r="Q277" s="820">
        <f>0.2*Q258</f>
        <v>811.8</v>
      </c>
      <c r="R277" s="820">
        <f>0.2*R258</f>
        <v>811.8</v>
      </c>
      <c r="S277" s="669">
        <v>0</v>
      </c>
      <c r="T277" s="669">
        <v>0</v>
      </c>
      <c r="U277" s="669">
        <v>0</v>
      </c>
    </row>
    <row r="278" spans="1:21" s="432" customFormat="1" ht="15.75">
      <c r="A278" s="526" t="s">
        <v>325</v>
      </c>
      <c r="B278" s="695" t="s">
        <v>326</v>
      </c>
      <c r="C278" s="429"/>
      <c r="D278" s="430" t="s">
        <v>890</v>
      </c>
      <c r="E278" s="431"/>
      <c r="F278" s="692">
        <f>0.1*F$277</f>
        <v>3.0668000000000002</v>
      </c>
      <c r="G278" s="692">
        <f t="shared" ref="G278:R278" si="84">0.1*G$277</f>
        <v>2.7060000000000004</v>
      </c>
      <c r="H278" s="692">
        <f t="shared" si="84"/>
        <v>1.3530000000000002</v>
      </c>
      <c r="I278" s="692">
        <f t="shared" si="84"/>
        <v>121.77000000000001</v>
      </c>
      <c r="J278" s="692">
        <f t="shared" si="84"/>
        <v>67.650000000000006</v>
      </c>
      <c r="K278" s="692">
        <f t="shared" si="84"/>
        <v>1.3530000000000002</v>
      </c>
      <c r="L278" s="692">
        <f t="shared" si="84"/>
        <v>2.7060000000000004</v>
      </c>
      <c r="M278" s="692">
        <f t="shared" si="84"/>
        <v>4.0590000000000002</v>
      </c>
      <c r="N278" s="692">
        <f t="shared" si="84"/>
        <v>1.3530000000000002</v>
      </c>
      <c r="O278" s="692">
        <f t="shared" si="84"/>
        <v>1.3530000000000002</v>
      </c>
      <c r="P278" s="692"/>
      <c r="Q278" s="692">
        <f t="shared" si="84"/>
        <v>81.180000000000007</v>
      </c>
      <c r="R278" s="692">
        <f t="shared" si="84"/>
        <v>81.180000000000007</v>
      </c>
      <c r="S278" s="692"/>
      <c r="T278" s="692"/>
      <c r="U278" s="692"/>
    </row>
    <row r="279" spans="1:21" s="432" customFormat="1" ht="15.75">
      <c r="A279" s="526" t="s">
        <v>327</v>
      </c>
      <c r="B279" s="695" t="s">
        <v>135</v>
      </c>
      <c r="C279" s="429"/>
      <c r="D279" s="430" t="s">
        <v>890</v>
      </c>
      <c r="E279" s="431"/>
      <c r="F279" s="692">
        <f t="shared" ref="F279:R283" si="85">0.1*F$277</f>
        <v>3.0668000000000002</v>
      </c>
      <c r="G279" s="692">
        <f t="shared" si="85"/>
        <v>2.7060000000000004</v>
      </c>
      <c r="H279" s="692">
        <f t="shared" si="85"/>
        <v>1.3530000000000002</v>
      </c>
      <c r="I279" s="692">
        <f t="shared" si="85"/>
        <v>121.77000000000001</v>
      </c>
      <c r="J279" s="692">
        <f t="shared" si="85"/>
        <v>67.650000000000006</v>
      </c>
      <c r="K279" s="692">
        <f t="shared" si="85"/>
        <v>1.3530000000000002</v>
      </c>
      <c r="L279" s="692">
        <f t="shared" si="85"/>
        <v>2.7060000000000004</v>
      </c>
      <c r="M279" s="692">
        <f t="shared" si="85"/>
        <v>4.0590000000000002</v>
      </c>
      <c r="N279" s="692">
        <f t="shared" si="85"/>
        <v>1.3530000000000002</v>
      </c>
      <c r="O279" s="692">
        <f t="shared" si="85"/>
        <v>1.3530000000000002</v>
      </c>
      <c r="P279" s="692"/>
      <c r="Q279" s="692">
        <f t="shared" si="85"/>
        <v>81.180000000000007</v>
      </c>
      <c r="R279" s="692">
        <f t="shared" si="85"/>
        <v>81.180000000000007</v>
      </c>
      <c r="S279" s="692"/>
      <c r="T279" s="692"/>
      <c r="U279" s="692"/>
    </row>
    <row r="280" spans="1:21" s="432" customFormat="1" ht="15.75">
      <c r="A280" s="657" t="s">
        <v>328</v>
      </c>
      <c r="B280" s="658" t="s">
        <v>103</v>
      </c>
      <c r="C280" s="429"/>
      <c r="D280" s="641" t="s">
        <v>890</v>
      </c>
      <c r="E280" s="431"/>
      <c r="F280" s="692">
        <f>0.3*F$277</f>
        <v>9.2004000000000001</v>
      </c>
      <c r="G280" s="692">
        <f t="shared" ref="G280:R280" si="86">0.3*G$277</f>
        <v>8.1180000000000003</v>
      </c>
      <c r="H280" s="692">
        <f t="shared" si="86"/>
        <v>4.0590000000000002</v>
      </c>
      <c r="I280" s="692">
        <f t="shared" si="86"/>
        <v>365.31</v>
      </c>
      <c r="J280" s="692">
        <f t="shared" si="86"/>
        <v>202.95</v>
      </c>
      <c r="K280" s="692">
        <f t="shared" si="86"/>
        <v>4.0590000000000002</v>
      </c>
      <c r="L280" s="692">
        <f t="shared" si="86"/>
        <v>8.1180000000000003</v>
      </c>
      <c r="M280" s="692">
        <f t="shared" si="86"/>
        <v>12.176999999999998</v>
      </c>
      <c r="N280" s="692">
        <f t="shared" si="86"/>
        <v>4.0590000000000002</v>
      </c>
      <c r="O280" s="692">
        <f t="shared" si="86"/>
        <v>4.0590000000000002</v>
      </c>
      <c r="P280" s="692"/>
      <c r="Q280" s="692">
        <f t="shared" si="86"/>
        <v>243.53999999999996</v>
      </c>
      <c r="R280" s="692">
        <f t="shared" si="86"/>
        <v>243.53999999999996</v>
      </c>
      <c r="S280" s="692"/>
      <c r="T280" s="692"/>
      <c r="U280" s="692"/>
    </row>
    <row r="281" spans="1:21" s="432" customFormat="1" ht="15.75">
      <c r="A281" s="526" t="s">
        <v>329</v>
      </c>
      <c r="B281" s="695" t="s">
        <v>105</v>
      </c>
      <c r="C281" s="429"/>
      <c r="D281" s="430" t="s">
        <v>890</v>
      </c>
      <c r="E281" s="431"/>
      <c r="F281" s="692">
        <f t="shared" si="85"/>
        <v>3.0668000000000002</v>
      </c>
      <c r="G281" s="692">
        <f>0.1*G$277</f>
        <v>2.7060000000000004</v>
      </c>
      <c r="H281" s="692">
        <f t="shared" si="85"/>
        <v>1.3530000000000002</v>
      </c>
      <c r="I281" s="692">
        <f t="shared" si="85"/>
        <v>121.77000000000001</v>
      </c>
      <c r="J281" s="692">
        <f>0.1*J$277</f>
        <v>67.650000000000006</v>
      </c>
      <c r="K281" s="692">
        <f t="shared" si="85"/>
        <v>1.3530000000000002</v>
      </c>
      <c r="L281" s="692">
        <f t="shared" si="85"/>
        <v>2.7060000000000004</v>
      </c>
      <c r="M281" s="692">
        <f t="shared" si="85"/>
        <v>4.0590000000000002</v>
      </c>
      <c r="N281" s="692">
        <f t="shared" si="85"/>
        <v>1.3530000000000002</v>
      </c>
      <c r="O281" s="692">
        <f t="shared" si="85"/>
        <v>1.3530000000000002</v>
      </c>
      <c r="P281" s="692"/>
      <c r="Q281" s="692">
        <f t="shared" si="85"/>
        <v>81.180000000000007</v>
      </c>
      <c r="R281" s="692">
        <f t="shared" si="85"/>
        <v>81.180000000000007</v>
      </c>
      <c r="S281" s="692"/>
      <c r="T281" s="692"/>
      <c r="U281" s="692"/>
    </row>
    <row r="282" spans="1:21" s="432" customFormat="1" ht="15.75">
      <c r="A282" s="657" t="s">
        <v>330</v>
      </c>
      <c r="B282" s="658" t="s">
        <v>142</v>
      </c>
      <c r="C282" s="429"/>
      <c r="D282" s="430" t="s">
        <v>890</v>
      </c>
      <c r="E282" s="431"/>
      <c r="F282" s="692">
        <f>0.3*F$277</f>
        <v>9.2004000000000001</v>
      </c>
      <c r="G282" s="692">
        <f t="shared" ref="G282:R282" si="87">0.3*G$277</f>
        <v>8.1180000000000003</v>
      </c>
      <c r="H282" s="692">
        <f t="shared" si="87"/>
        <v>4.0590000000000002</v>
      </c>
      <c r="I282" s="692">
        <f t="shared" si="87"/>
        <v>365.31</v>
      </c>
      <c r="J282" s="692">
        <f t="shared" si="87"/>
        <v>202.95</v>
      </c>
      <c r="K282" s="692">
        <f t="shared" si="87"/>
        <v>4.0590000000000002</v>
      </c>
      <c r="L282" s="692">
        <f t="shared" si="87"/>
        <v>8.1180000000000003</v>
      </c>
      <c r="M282" s="692">
        <f t="shared" si="87"/>
        <v>12.176999999999998</v>
      </c>
      <c r="N282" s="692">
        <f t="shared" si="87"/>
        <v>4.0590000000000002</v>
      </c>
      <c r="O282" s="692">
        <f t="shared" si="87"/>
        <v>4.0590000000000002</v>
      </c>
      <c r="P282" s="692"/>
      <c r="Q282" s="692">
        <f t="shared" si="87"/>
        <v>243.53999999999996</v>
      </c>
      <c r="R282" s="692">
        <f t="shared" si="87"/>
        <v>243.53999999999996</v>
      </c>
      <c r="S282" s="692"/>
      <c r="T282" s="692"/>
      <c r="U282" s="692"/>
    </row>
    <row r="283" spans="1:21" s="59" customFormat="1" ht="15.75">
      <c r="A283" s="769" t="s">
        <v>331</v>
      </c>
      <c r="B283" s="658" t="s">
        <v>150</v>
      </c>
      <c r="C283" s="404"/>
      <c r="D283" s="641" t="s">
        <v>890</v>
      </c>
      <c r="E283" s="405"/>
      <c r="F283" s="692">
        <f t="shared" si="85"/>
        <v>3.0668000000000002</v>
      </c>
      <c r="G283" s="692">
        <f t="shared" si="85"/>
        <v>2.7060000000000004</v>
      </c>
      <c r="H283" s="692">
        <f t="shared" si="85"/>
        <v>1.3530000000000002</v>
      </c>
      <c r="I283" s="692">
        <f t="shared" si="85"/>
        <v>121.77000000000001</v>
      </c>
      <c r="J283" s="692">
        <f t="shared" si="85"/>
        <v>67.650000000000006</v>
      </c>
      <c r="K283" s="692">
        <f t="shared" si="85"/>
        <v>1.3530000000000002</v>
      </c>
      <c r="L283" s="692">
        <f t="shared" si="85"/>
        <v>2.7060000000000004</v>
      </c>
      <c r="M283" s="692">
        <f t="shared" si="85"/>
        <v>4.0590000000000002</v>
      </c>
      <c r="N283" s="692">
        <f t="shared" si="85"/>
        <v>1.3530000000000002</v>
      </c>
      <c r="O283" s="692">
        <f t="shared" si="85"/>
        <v>1.3530000000000002</v>
      </c>
      <c r="P283" s="692"/>
      <c r="Q283" s="692">
        <f t="shared" si="85"/>
        <v>81.180000000000007</v>
      </c>
      <c r="R283" s="692">
        <f t="shared" si="85"/>
        <v>81.180000000000007</v>
      </c>
      <c r="S283" s="692"/>
      <c r="T283" s="692"/>
      <c r="U283" s="692"/>
    </row>
    <row r="284" spans="1:21" s="240" customFormat="1" ht="15.75">
      <c r="A284" s="365"/>
      <c r="B284" s="616"/>
      <c r="C284" s="320"/>
      <c r="D284" s="238"/>
      <c r="E284" s="239"/>
      <c r="F284" s="664">
        <f t="shared" ref="F284:U284" si="88">F277-SUM(F278:F283)</f>
        <v>0</v>
      </c>
      <c r="G284" s="664">
        <f t="shared" si="88"/>
        <v>0</v>
      </c>
      <c r="H284" s="664">
        <f t="shared" si="88"/>
        <v>0</v>
      </c>
      <c r="I284" s="664">
        <f t="shared" si="88"/>
        <v>0</v>
      </c>
      <c r="J284" s="664">
        <f t="shared" si="88"/>
        <v>0</v>
      </c>
      <c r="K284" s="664"/>
      <c r="L284" s="664">
        <f t="shared" si="88"/>
        <v>0</v>
      </c>
      <c r="M284" s="664">
        <f t="shared" si="88"/>
        <v>0</v>
      </c>
      <c r="N284" s="664">
        <f t="shared" si="88"/>
        <v>0</v>
      </c>
      <c r="O284" s="664">
        <f t="shared" si="88"/>
        <v>0</v>
      </c>
      <c r="P284" s="664"/>
      <c r="Q284" s="664">
        <f t="shared" si="88"/>
        <v>0</v>
      </c>
      <c r="R284" s="664">
        <f t="shared" si="88"/>
        <v>0</v>
      </c>
      <c r="S284" s="664">
        <f t="shared" si="88"/>
        <v>0</v>
      </c>
      <c r="T284" s="664">
        <f t="shared" si="88"/>
        <v>0</v>
      </c>
      <c r="U284" s="664">
        <f t="shared" si="88"/>
        <v>0</v>
      </c>
    </row>
    <row r="285" spans="1:21" s="59" customFormat="1" ht="15.75">
      <c r="A285" s="769"/>
      <c r="B285" s="656"/>
      <c r="C285" s="404"/>
      <c r="D285" s="641"/>
      <c r="E285" s="405"/>
      <c r="F285" s="690"/>
      <c r="G285" s="690"/>
      <c r="H285" s="690"/>
      <c r="I285" s="690"/>
      <c r="J285" s="690"/>
      <c r="K285" s="690"/>
      <c r="L285" s="690"/>
      <c r="M285" s="690"/>
      <c r="N285" s="690"/>
      <c r="O285" s="690"/>
      <c r="P285" s="690"/>
      <c r="Q285" s="690"/>
      <c r="R285" s="690"/>
      <c r="S285" s="690"/>
      <c r="T285" s="690"/>
      <c r="U285" s="690"/>
    </row>
    <row r="286" spans="1:21" s="401" customFormat="1" ht="15.75">
      <c r="A286" s="417" t="s">
        <v>332</v>
      </c>
      <c r="B286" s="693" t="s">
        <v>107</v>
      </c>
      <c r="C286" s="427"/>
      <c r="D286" s="398"/>
      <c r="E286" s="399"/>
      <c r="F286" s="666">
        <f>0.01*F$258</f>
        <v>30.667999999999999</v>
      </c>
      <c r="G286" s="666">
        <f>0.02*G$258</f>
        <v>27.060000000000002</v>
      </c>
      <c r="H286" s="668">
        <f>0.01*H258</f>
        <v>13.530000000000001</v>
      </c>
      <c r="I286" s="668">
        <f t="shared" ref="I286" si="89">0.01*I258</f>
        <v>27.060000000000002</v>
      </c>
      <c r="J286" s="668">
        <f>0.02*J258</f>
        <v>27.060000000000002</v>
      </c>
      <c r="K286" s="668">
        <f>0.01*K258</f>
        <v>13.530000000000001</v>
      </c>
      <c r="L286" s="668">
        <f t="shared" ref="L286" si="90">0.01*L258</f>
        <v>27.060000000000002</v>
      </c>
      <c r="M286" s="668"/>
      <c r="N286" s="666"/>
      <c r="O286" s="666"/>
      <c r="P286" s="666"/>
      <c r="Q286" s="668">
        <f>0.02*Q258</f>
        <v>81.179999999999993</v>
      </c>
      <c r="R286" s="668">
        <f>0.02*R258</f>
        <v>81.179999999999993</v>
      </c>
      <c r="S286" s="669">
        <v>0</v>
      </c>
      <c r="T286" s="669">
        <v>0</v>
      </c>
      <c r="U286" s="669">
        <v>0</v>
      </c>
    </row>
    <row r="287" spans="1:21" s="432" customFormat="1" ht="15.75">
      <c r="A287" s="526" t="s">
        <v>333</v>
      </c>
      <c r="B287" s="695" t="s">
        <v>326</v>
      </c>
      <c r="C287" s="429"/>
      <c r="D287" s="430" t="s">
        <v>890</v>
      </c>
      <c r="E287" s="431"/>
      <c r="F287" s="692">
        <f>0.1*F$286</f>
        <v>3.0668000000000002</v>
      </c>
      <c r="G287" s="692">
        <f t="shared" ref="G287:R287" si="91">0.1*G$286</f>
        <v>2.7060000000000004</v>
      </c>
      <c r="H287" s="692">
        <f t="shared" si="91"/>
        <v>1.3530000000000002</v>
      </c>
      <c r="I287" s="692">
        <f t="shared" si="91"/>
        <v>2.7060000000000004</v>
      </c>
      <c r="J287" s="692">
        <f t="shared" si="91"/>
        <v>2.7060000000000004</v>
      </c>
      <c r="K287" s="692">
        <f t="shared" si="91"/>
        <v>1.3530000000000002</v>
      </c>
      <c r="L287" s="692">
        <f t="shared" si="91"/>
        <v>2.7060000000000004</v>
      </c>
      <c r="M287" s="692"/>
      <c r="N287" s="692"/>
      <c r="O287" s="692"/>
      <c r="P287" s="692"/>
      <c r="Q287" s="692">
        <f t="shared" si="91"/>
        <v>8.1180000000000003</v>
      </c>
      <c r="R287" s="692">
        <f t="shared" si="91"/>
        <v>8.1180000000000003</v>
      </c>
      <c r="S287" s="692"/>
      <c r="T287" s="689"/>
      <c r="U287" s="437"/>
    </row>
    <row r="288" spans="1:21" s="432" customFormat="1" ht="15.75">
      <c r="A288" s="526" t="s">
        <v>334</v>
      </c>
      <c r="B288" s="695" t="s">
        <v>135</v>
      </c>
      <c r="C288" s="429"/>
      <c r="D288" s="430" t="s">
        <v>890</v>
      </c>
      <c r="E288" s="431"/>
      <c r="F288" s="692">
        <f>0.2*F286</f>
        <v>6.1336000000000004</v>
      </c>
      <c r="G288" s="692">
        <f t="shared" ref="G288:L288" si="92">0.2*G286</f>
        <v>5.4120000000000008</v>
      </c>
      <c r="H288" s="692">
        <f t="shared" si="92"/>
        <v>2.7060000000000004</v>
      </c>
      <c r="I288" s="692">
        <f t="shared" si="92"/>
        <v>5.4120000000000008</v>
      </c>
      <c r="J288" s="692">
        <f t="shared" si="92"/>
        <v>5.4120000000000008</v>
      </c>
      <c r="K288" s="692">
        <f t="shared" si="92"/>
        <v>2.7060000000000004</v>
      </c>
      <c r="L288" s="692">
        <f t="shared" si="92"/>
        <v>5.4120000000000008</v>
      </c>
      <c r="M288" s="692"/>
      <c r="N288" s="692"/>
      <c r="O288" s="692"/>
      <c r="P288" s="692"/>
      <c r="Q288" s="692">
        <f>0.2*Q286</f>
        <v>16.236000000000001</v>
      </c>
      <c r="R288" s="692">
        <f>0.2*R286</f>
        <v>16.236000000000001</v>
      </c>
      <c r="S288" s="692"/>
      <c r="T288" s="689"/>
      <c r="U288" s="437"/>
    </row>
    <row r="289" spans="1:21" s="369" customFormat="1" ht="15.75">
      <c r="A289" s="769" t="s">
        <v>335</v>
      </c>
      <c r="B289" s="658" t="s">
        <v>112</v>
      </c>
      <c r="C289" s="429"/>
      <c r="D289" s="430" t="s">
        <v>890</v>
      </c>
      <c r="E289" s="431"/>
      <c r="F289" s="692">
        <f>0.2*F$286</f>
        <v>6.1336000000000004</v>
      </c>
      <c r="G289" s="692">
        <f t="shared" ref="G289:R289" si="93">0.2*G$286</f>
        <v>5.4120000000000008</v>
      </c>
      <c r="H289" s="692">
        <f t="shared" si="93"/>
        <v>2.7060000000000004</v>
      </c>
      <c r="I289" s="692">
        <f t="shared" si="93"/>
        <v>5.4120000000000008</v>
      </c>
      <c r="J289" s="692">
        <f t="shared" si="93"/>
        <v>5.4120000000000008</v>
      </c>
      <c r="K289" s="692">
        <f t="shared" si="93"/>
        <v>2.7060000000000004</v>
      </c>
      <c r="L289" s="692">
        <f t="shared" si="93"/>
        <v>5.4120000000000008</v>
      </c>
      <c r="M289" s="692"/>
      <c r="N289" s="692"/>
      <c r="O289" s="692"/>
      <c r="P289" s="692"/>
      <c r="Q289" s="692">
        <f t="shared" si="93"/>
        <v>16.236000000000001</v>
      </c>
      <c r="R289" s="692">
        <f t="shared" si="93"/>
        <v>16.236000000000001</v>
      </c>
      <c r="S289" s="692"/>
      <c r="T289" s="689"/>
      <c r="U289" s="437"/>
    </row>
    <row r="290" spans="1:21" s="432" customFormat="1" ht="15.75">
      <c r="A290" s="657" t="s">
        <v>336</v>
      </c>
      <c r="B290" s="658" t="s">
        <v>105</v>
      </c>
      <c r="C290" s="429"/>
      <c r="D290" s="430" t="s">
        <v>890</v>
      </c>
      <c r="E290" s="431"/>
      <c r="F290" s="692">
        <f>0.1*F$286</f>
        <v>3.0668000000000002</v>
      </c>
      <c r="G290" s="692">
        <f t="shared" ref="G290:R290" si="94">0.1*G$286</f>
        <v>2.7060000000000004</v>
      </c>
      <c r="H290" s="692">
        <f t="shared" si="94"/>
        <v>1.3530000000000002</v>
      </c>
      <c r="I290" s="692">
        <f t="shared" si="94"/>
        <v>2.7060000000000004</v>
      </c>
      <c r="J290" s="692">
        <f t="shared" si="94"/>
        <v>2.7060000000000004</v>
      </c>
      <c r="K290" s="692">
        <f t="shared" si="94"/>
        <v>1.3530000000000002</v>
      </c>
      <c r="L290" s="692">
        <f t="shared" si="94"/>
        <v>2.7060000000000004</v>
      </c>
      <c r="M290" s="692"/>
      <c r="N290" s="692"/>
      <c r="O290" s="692"/>
      <c r="P290" s="692"/>
      <c r="Q290" s="692">
        <f t="shared" si="94"/>
        <v>8.1180000000000003</v>
      </c>
      <c r="R290" s="692">
        <f t="shared" si="94"/>
        <v>8.1180000000000003</v>
      </c>
      <c r="S290" s="692"/>
      <c r="T290" s="689"/>
      <c r="U290" s="437"/>
    </row>
    <row r="291" spans="1:21" s="59" customFormat="1" ht="15.75">
      <c r="A291" s="769" t="s">
        <v>337</v>
      </c>
      <c r="B291" s="658" t="s">
        <v>142</v>
      </c>
      <c r="C291" s="404"/>
      <c r="D291" s="641" t="s">
        <v>890</v>
      </c>
      <c r="E291" s="405"/>
      <c r="F291" s="692">
        <f>0.2*F286</f>
        <v>6.1336000000000004</v>
      </c>
      <c r="G291" s="692">
        <f t="shared" ref="G291:L291" si="95">0.2*G286</f>
        <v>5.4120000000000008</v>
      </c>
      <c r="H291" s="692">
        <f t="shared" si="95"/>
        <v>2.7060000000000004</v>
      </c>
      <c r="I291" s="692">
        <f t="shared" si="95"/>
        <v>5.4120000000000008</v>
      </c>
      <c r="J291" s="692">
        <f t="shared" si="95"/>
        <v>5.4120000000000008</v>
      </c>
      <c r="K291" s="692">
        <f t="shared" si="95"/>
        <v>2.7060000000000004</v>
      </c>
      <c r="L291" s="692">
        <f t="shared" si="95"/>
        <v>5.4120000000000008</v>
      </c>
      <c r="M291" s="692"/>
      <c r="N291" s="692"/>
      <c r="O291" s="692"/>
      <c r="P291" s="692"/>
      <c r="Q291" s="692">
        <f>0.2*Q286</f>
        <v>16.236000000000001</v>
      </c>
      <c r="R291" s="692">
        <f>0.2*R286</f>
        <v>16.236000000000001</v>
      </c>
      <c r="S291" s="692"/>
      <c r="T291" s="689"/>
      <c r="U291" s="457"/>
    </row>
    <row r="292" spans="1:21" s="59" customFormat="1" ht="15.75">
      <c r="A292" s="769" t="s">
        <v>338</v>
      </c>
      <c r="B292" s="656" t="s">
        <v>150</v>
      </c>
      <c r="C292" s="404"/>
      <c r="D292" s="641" t="s">
        <v>890</v>
      </c>
      <c r="E292" s="405"/>
      <c r="F292" s="692">
        <f>0.2*F$286</f>
        <v>6.1336000000000004</v>
      </c>
      <c r="G292" s="692">
        <f t="shared" ref="G292:R292" si="96">0.2*G$286</f>
        <v>5.4120000000000008</v>
      </c>
      <c r="H292" s="692">
        <f t="shared" si="96"/>
        <v>2.7060000000000004</v>
      </c>
      <c r="I292" s="692">
        <f t="shared" si="96"/>
        <v>5.4120000000000008</v>
      </c>
      <c r="J292" s="692">
        <f t="shared" si="96"/>
        <v>5.4120000000000008</v>
      </c>
      <c r="K292" s="692">
        <f t="shared" si="96"/>
        <v>2.7060000000000004</v>
      </c>
      <c r="L292" s="692">
        <f t="shared" si="96"/>
        <v>5.4120000000000008</v>
      </c>
      <c r="M292" s="692"/>
      <c r="N292" s="692"/>
      <c r="O292" s="692"/>
      <c r="P292" s="692"/>
      <c r="Q292" s="692">
        <f t="shared" si="96"/>
        <v>16.236000000000001</v>
      </c>
      <c r="R292" s="692">
        <f t="shared" si="96"/>
        <v>16.236000000000001</v>
      </c>
      <c r="S292" s="692"/>
      <c r="T292" s="689"/>
      <c r="U292" s="457"/>
    </row>
    <row r="293" spans="1:21" s="284" customFormat="1" ht="15.75">
      <c r="A293" s="769"/>
      <c r="B293" s="656"/>
      <c r="C293" s="404"/>
      <c r="D293" s="641"/>
      <c r="E293" s="405"/>
      <c r="F293" s="664">
        <f t="shared" ref="F293:U293" si="97">F286-SUM(F287:F292)</f>
        <v>0</v>
      </c>
      <c r="G293" s="664">
        <f t="shared" si="97"/>
        <v>0</v>
      </c>
      <c r="H293" s="664">
        <f t="shared" si="97"/>
        <v>0</v>
      </c>
      <c r="I293" s="664">
        <f t="shared" si="97"/>
        <v>0</v>
      </c>
      <c r="J293" s="664">
        <f t="shared" si="97"/>
        <v>0</v>
      </c>
      <c r="K293" s="664">
        <f t="shared" si="97"/>
        <v>0</v>
      </c>
      <c r="L293" s="664">
        <f t="shared" si="97"/>
        <v>0</v>
      </c>
      <c r="M293" s="664">
        <f t="shared" si="97"/>
        <v>0</v>
      </c>
      <c r="N293" s="664">
        <f t="shared" si="97"/>
        <v>0</v>
      </c>
      <c r="O293" s="664">
        <f t="shared" si="97"/>
        <v>0</v>
      </c>
      <c r="P293" s="664"/>
      <c r="Q293" s="664">
        <f t="shared" si="97"/>
        <v>0</v>
      </c>
      <c r="R293" s="664">
        <f t="shared" si="97"/>
        <v>0</v>
      </c>
      <c r="S293" s="664">
        <f t="shared" si="97"/>
        <v>0</v>
      </c>
      <c r="T293" s="664">
        <f t="shared" si="97"/>
        <v>0</v>
      </c>
      <c r="U293" s="664">
        <f t="shared" si="97"/>
        <v>0</v>
      </c>
    </row>
    <row r="294" spans="1:21" s="59" customFormat="1" ht="15.75">
      <c r="A294" s="769"/>
      <c r="B294" s="656"/>
      <c r="C294" s="404"/>
      <c r="D294" s="641"/>
      <c r="E294" s="405"/>
      <c r="F294" s="690"/>
      <c r="G294" s="690"/>
      <c r="H294" s="690"/>
      <c r="I294" s="690"/>
      <c r="J294" s="690"/>
      <c r="K294" s="690"/>
      <c r="L294" s="690"/>
      <c r="M294" s="690"/>
      <c r="N294" s="690"/>
      <c r="O294" s="690"/>
      <c r="P294" s="690"/>
      <c r="Q294" s="690"/>
      <c r="R294" s="690"/>
      <c r="S294" s="690"/>
      <c r="T294" s="690"/>
      <c r="U294" s="690"/>
    </row>
    <row r="295" spans="1:21" s="288" customFormat="1" ht="15.75">
      <c r="A295" s="417" t="s">
        <v>339</v>
      </c>
      <c r="B295" s="693" t="s">
        <v>118</v>
      </c>
      <c r="C295" s="427"/>
      <c r="D295" s="398"/>
      <c r="E295" s="399"/>
      <c r="F295" s="668"/>
      <c r="G295" s="668"/>
      <c r="H295" s="668">
        <f>0.01*H258</f>
        <v>13.530000000000001</v>
      </c>
      <c r="I295" s="668">
        <f t="shared" ref="I295:N295" si="98">0.01*I258</f>
        <v>27.060000000000002</v>
      </c>
      <c r="J295" s="668">
        <f>0.05*J258</f>
        <v>67.650000000000006</v>
      </c>
      <c r="K295" s="668">
        <f t="shared" si="98"/>
        <v>13.530000000000001</v>
      </c>
      <c r="L295" s="668">
        <f t="shared" si="98"/>
        <v>27.060000000000002</v>
      </c>
      <c r="M295" s="668">
        <f>0.04*M258</f>
        <v>54.120000000000005</v>
      </c>
      <c r="N295" s="668">
        <f t="shared" si="98"/>
        <v>13.530000000000001</v>
      </c>
      <c r="O295" s="668">
        <f>0.01*O258</f>
        <v>13.530000000000001</v>
      </c>
      <c r="P295" s="668"/>
      <c r="Q295" s="668">
        <f>0.01*Q258</f>
        <v>40.589999999999996</v>
      </c>
      <c r="R295" s="668">
        <f>0.02*R258</f>
        <v>81.179999999999993</v>
      </c>
      <c r="S295" s="666">
        <v>0</v>
      </c>
      <c r="T295" s="666">
        <v>0</v>
      </c>
      <c r="U295" s="666">
        <v>0</v>
      </c>
    </row>
    <row r="296" spans="1:21" s="59" customFormat="1" ht="15.75">
      <c r="A296" s="769" t="s">
        <v>340</v>
      </c>
      <c r="B296" s="658" t="s">
        <v>326</v>
      </c>
      <c r="C296" s="404"/>
      <c r="D296" s="641" t="s">
        <v>890</v>
      </c>
      <c r="E296" s="405"/>
      <c r="F296" s="692"/>
      <c r="G296" s="692"/>
      <c r="H296" s="692">
        <f>0.15*H295</f>
        <v>2.0295000000000001</v>
      </c>
      <c r="I296" s="692">
        <f t="shared" ref="I296:R296" si="99">0.15*I295</f>
        <v>4.0590000000000002</v>
      </c>
      <c r="J296" s="692">
        <f t="shared" si="99"/>
        <v>10.147500000000001</v>
      </c>
      <c r="K296" s="692">
        <f t="shared" si="99"/>
        <v>2.0295000000000001</v>
      </c>
      <c r="L296" s="692">
        <f t="shared" si="99"/>
        <v>4.0590000000000002</v>
      </c>
      <c r="M296" s="692">
        <f t="shared" si="99"/>
        <v>8.1180000000000003</v>
      </c>
      <c r="N296" s="692">
        <f t="shared" si="99"/>
        <v>2.0295000000000001</v>
      </c>
      <c r="O296" s="692">
        <f t="shared" si="99"/>
        <v>2.0295000000000001</v>
      </c>
      <c r="P296" s="692"/>
      <c r="Q296" s="692">
        <f t="shared" si="99"/>
        <v>6.0884999999999989</v>
      </c>
      <c r="R296" s="692">
        <f t="shared" si="99"/>
        <v>12.176999999999998</v>
      </c>
      <c r="S296" s="692"/>
      <c r="T296" s="692"/>
      <c r="U296" s="692"/>
    </row>
    <row r="297" spans="1:21" s="432" customFormat="1" ht="15.75">
      <c r="A297" s="526" t="s">
        <v>341</v>
      </c>
      <c r="B297" s="695" t="s">
        <v>135</v>
      </c>
      <c r="C297" s="429"/>
      <c r="D297" s="430" t="s">
        <v>890</v>
      </c>
      <c r="E297" s="431"/>
      <c r="F297" s="692"/>
      <c r="G297" s="692"/>
      <c r="H297" s="692">
        <f>0.2*H295</f>
        <v>2.7060000000000004</v>
      </c>
      <c r="I297" s="692">
        <f t="shared" ref="I297:R297" si="100">0.2*I295</f>
        <v>5.4120000000000008</v>
      </c>
      <c r="J297" s="692">
        <f t="shared" si="100"/>
        <v>13.530000000000001</v>
      </c>
      <c r="K297" s="692">
        <f t="shared" si="100"/>
        <v>2.7060000000000004</v>
      </c>
      <c r="L297" s="692">
        <f t="shared" si="100"/>
        <v>5.4120000000000008</v>
      </c>
      <c r="M297" s="692">
        <f t="shared" si="100"/>
        <v>10.824000000000002</v>
      </c>
      <c r="N297" s="692">
        <f t="shared" si="100"/>
        <v>2.7060000000000004</v>
      </c>
      <c r="O297" s="692">
        <f t="shared" si="100"/>
        <v>2.7060000000000004</v>
      </c>
      <c r="P297" s="692"/>
      <c r="Q297" s="692">
        <f t="shared" si="100"/>
        <v>8.1180000000000003</v>
      </c>
      <c r="R297" s="692">
        <f t="shared" si="100"/>
        <v>16.236000000000001</v>
      </c>
      <c r="S297" s="692"/>
      <c r="T297" s="692"/>
      <c r="U297" s="692"/>
    </row>
    <row r="298" spans="1:21" s="432" customFormat="1" ht="15.75">
      <c r="A298" s="526" t="s">
        <v>342</v>
      </c>
      <c r="B298" s="695" t="s">
        <v>112</v>
      </c>
      <c r="C298" s="429"/>
      <c r="D298" s="430" t="s">
        <v>890</v>
      </c>
      <c r="E298" s="431"/>
      <c r="F298" s="692"/>
      <c r="G298" s="692"/>
      <c r="H298" s="692">
        <f>0.1*H$295</f>
        <v>1.3530000000000002</v>
      </c>
      <c r="I298" s="692">
        <f t="shared" ref="I298:R298" si="101">0.1*I$295</f>
        <v>2.7060000000000004</v>
      </c>
      <c r="J298" s="692">
        <f t="shared" si="101"/>
        <v>6.7650000000000006</v>
      </c>
      <c r="K298" s="692">
        <f>0.1*K$295</f>
        <v>1.3530000000000002</v>
      </c>
      <c r="L298" s="692">
        <f t="shared" si="101"/>
        <v>2.7060000000000004</v>
      </c>
      <c r="M298" s="692">
        <f t="shared" si="101"/>
        <v>5.4120000000000008</v>
      </c>
      <c r="N298" s="692">
        <f t="shared" si="101"/>
        <v>1.3530000000000002</v>
      </c>
      <c r="O298" s="692">
        <f t="shared" si="101"/>
        <v>1.3530000000000002</v>
      </c>
      <c r="P298" s="692"/>
      <c r="Q298" s="692">
        <f t="shared" si="101"/>
        <v>4.0590000000000002</v>
      </c>
      <c r="R298" s="692">
        <f t="shared" si="101"/>
        <v>8.1180000000000003</v>
      </c>
      <c r="S298" s="692"/>
      <c r="T298" s="692"/>
      <c r="U298" s="692"/>
    </row>
    <row r="299" spans="1:21" s="369" customFormat="1" ht="15.75">
      <c r="A299" s="769" t="s">
        <v>343</v>
      </c>
      <c r="B299" s="658" t="s">
        <v>139</v>
      </c>
      <c r="C299" s="429"/>
      <c r="D299" s="430" t="s">
        <v>890</v>
      </c>
      <c r="E299" s="431"/>
      <c r="F299" s="692"/>
      <c r="G299" s="692"/>
      <c r="H299" s="692">
        <f>0.15*H$295</f>
        <v>2.0295000000000001</v>
      </c>
      <c r="I299" s="692">
        <f t="shared" ref="I299:R299" si="102">0.15*I$295</f>
        <v>4.0590000000000002</v>
      </c>
      <c r="J299" s="692">
        <f t="shared" si="102"/>
        <v>10.147500000000001</v>
      </c>
      <c r="K299" s="692">
        <f>0.15*K$295</f>
        <v>2.0295000000000001</v>
      </c>
      <c r="L299" s="692">
        <f t="shared" si="102"/>
        <v>4.0590000000000002</v>
      </c>
      <c r="M299" s="692">
        <f t="shared" si="102"/>
        <v>8.1180000000000003</v>
      </c>
      <c r="N299" s="692">
        <f t="shared" si="102"/>
        <v>2.0295000000000001</v>
      </c>
      <c r="O299" s="692">
        <f t="shared" si="102"/>
        <v>2.0295000000000001</v>
      </c>
      <c r="P299" s="692"/>
      <c r="Q299" s="692">
        <f t="shared" si="102"/>
        <v>6.0884999999999989</v>
      </c>
      <c r="R299" s="692">
        <f t="shared" si="102"/>
        <v>12.176999999999998</v>
      </c>
      <c r="S299" s="692"/>
      <c r="T299" s="692"/>
      <c r="U299" s="692"/>
    </row>
    <row r="300" spans="1:21" s="432" customFormat="1" ht="15.75">
      <c r="A300" s="657" t="s">
        <v>344</v>
      </c>
      <c r="B300" s="658" t="s">
        <v>105</v>
      </c>
      <c r="C300" s="429"/>
      <c r="D300" s="430" t="s">
        <v>890</v>
      </c>
      <c r="E300" s="431"/>
      <c r="F300" s="692"/>
      <c r="G300" s="692"/>
      <c r="H300" s="692">
        <f>0.1*H$295</f>
        <v>1.3530000000000002</v>
      </c>
      <c r="I300" s="692">
        <f t="shared" ref="I300:R300" si="103">0.1*I$295</f>
        <v>2.7060000000000004</v>
      </c>
      <c r="J300" s="692">
        <f t="shared" si="103"/>
        <v>6.7650000000000006</v>
      </c>
      <c r="K300" s="692">
        <f>0.1*K$295</f>
        <v>1.3530000000000002</v>
      </c>
      <c r="L300" s="692">
        <f t="shared" si="103"/>
        <v>2.7060000000000004</v>
      </c>
      <c r="M300" s="692">
        <f t="shared" si="103"/>
        <v>5.4120000000000008</v>
      </c>
      <c r="N300" s="692">
        <f t="shared" si="103"/>
        <v>1.3530000000000002</v>
      </c>
      <c r="O300" s="692">
        <f t="shared" si="103"/>
        <v>1.3530000000000002</v>
      </c>
      <c r="P300" s="692"/>
      <c r="Q300" s="692">
        <f t="shared" si="103"/>
        <v>4.0590000000000002</v>
      </c>
      <c r="R300" s="692">
        <f t="shared" si="103"/>
        <v>8.1180000000000003</v>
      </c>
      <c r="S300" s="692"/>
      <c r="T300" s="692"/>
      <c r="U300" s="692"/>
    </row>
    <row r="301" spans="1:21" s="59" customFormat="1" ht="15.75">
      <c r="A301" s="769" t="s">
        <v>345</v>
      </c>
      <c r="B301" s="658" t="s">
        <v>142</v>
      </c>
      <c r="C301" s="404"/>
      <c r="D301" s="641" t="s">
        <v>890</v>
      </c>
      <c r="E301" s="405"/>
      <c r="F301" s="692"/>
      <c r="G301" s="692"/>
      <c r="H301" s="692">
        <f>0.15*H$295</f>
        <v>2.0295000000000001</v>
      </c>
      <c r="I301" s="692">
        <f t="shared" ref="I301:R302" si="104">0.15*I$295</f>
        <v>4.0590000000000002</v>
      </c>
      <c r="J301" s="692">
        <f t="shared" si="104"/>
        <v>10.147500000000001</v>
      </c>
      <c r="K301" s="692">
        <f>0.15*K$295</f>
        <v>2.0295000000000001</v>
      </c>
      <c r="L301" s="692">
        <f t="shared" si="104"/>
        <v>4.0590000000000002</v>
      </c>
      <c r="M301" s="692">
        <f t="shared" si="104"/>
        <v>8.1180000000000003</v>
      </c>
      <c r="N301" s="692">
        <f t="shared" si="104"/>
        <v>2.0295000000000001</v>
      </c>
      <c r="O301" s="692">
        <f t="shared" si="104"/>
        <v>2.0295000000000001</v>
      </c>
      <c r="P301" s="692"/>
      <c r="Q301" s="692">
        <f t="shared" si="104"/>
        <v>6.0884999999999989</v>
      </c>
      <c r="R301" s="692">
        <f t="shared" si="104"/>
        <v>12.176999999999998</v>
      </c>
      <c r="S301" s="692"/>
      <c r="T301" s="692"/>
      <c r="U301" s="692"/>
    </row>
    <row r="302" spans="1:21" s="59" customFormat="1" ht="15.75">
      <c r="A302" s="769" t="s">
        <v>346</v>
      </c>
      <c r="B302" s="658" t="s">
        <v>150</v>
      </c>
      <c r="C302" s="404"/>
      <c r="D302" s="641" t="s">
        <v>890</v>
      </c>
      <c r="E302" s="405"/>
      <c r="F302" s="692"/>
      <c r="G302" s="692"/>
      <c r="H302" s="692">
        <f>0.15*H$295</f>
        <v>2.0295000000000001</v>
      </c>
      <c r="I302" s="692">
        <f t="shared" si="104"/>
        <v>4.0590000000000002</v>
      </c>
      <c r="J302" s="692">
        <f t="shared" si="104"/>
        <v>10.147500000000001</v>
      </c>
      <c r="K302" s="692">
        <f>0.15*K$295</f>
        <v>2.0295000000000001</v>
      </c>
      <c r="L302" s="692">
        <f t="shared" si="104"/>
        <v>4.0590000000000002</v>
      </c>
      <c r="M302" s="692">
        <f t="shared" si="104"/>
        <v>8.1180000000000003</v>
      </c>
      <c r="N302" s="692">
        <f t="shared" si="104"/>
        <v>2.0295000000000001</v>
      </c>
      <c r="O302" s="692">
        <f t="shared" si="104"/>
        <v>2.0295000000000001</v>
      </c>
      <c r="P302" s="692"/>
      <c r="Q302" s="692">
        <f t="shared" si="104"/>
        <v>6.0884999999999989</v>
      </c>
      <c r="R302" s="692">
        <f t="shared" si="104"/>
        <v>12.176999999999998</v>
      </c>
      <c r="S302" s="692"/>
      <c r="T302" s="692"/>
      <c r="U302" s="692"/>
    </row>
    <row r="303" spans="1:21" s="284" customFormat="1" ht="15.75">
      <c r="A303" s="769"/>
      <c r="B303" s="656"/>
      <c r="C303" s="404"/>
      <c r="D303" s="641"/>
      <c r="E303" s="405"/>
      <c r="F303" s="664">
        <f t="shared" ref="F303:U303" si="105">F295-SUM(F296:F302)</f>
        <v>0</v>
      </c>
      <c r="G303" s="664">
        <f t="shared" si="105"/>
        <v>0</v>
      </c>
      <c r="H303" s="664">
        <f t="shared" si="105"/>
        <v>0</v>
      </c>
      <c r="I303" s="664">
        <f t="shared" si="105"/>
        <v>0</v>
      </c>
      <c r="J303" s="664">
        <f t="shared" si="105"/>
        <v>0</v>
      </c>
      <c r="K303" s="664">
        <f t="shared" si="105"/>
        <v>0</v>
      </c>
      <c r="L303" s="664">
        <f t="shared" si="105"/>
        <v>0</v>
      </c>
      <c r="M303" s="664">
        <f t="shared" si="105"/>
        <v>0</v>
      </c>
      <c r="N303" s="664">
        <f t="shared" si="105"/>
        <v>0</v>
      </c>
      <c r="O303" s="664">
        <f t="shared" si="105"/>
        <v>0</v>
      </c>
      <c r="P303" s="664"/>
      <c r="Q303" s="664">
        <f t="shared" si="105"/>
        <v>0</v>
      </c>
      <c r="R303" s="664">
        <f t="shared" si="105"/>
        <v>0</v>
      </c>
      <c r="S303" s="664">
        <f t="shared" si="105"/>
        <v>0</v>
      </c>
      <c r="T303" s="664">
        <f t="shared" si="105"/>
        <v>0</v>
      </c>
      <c r="U303" s="664">
        <f t="shared" si="105"/>
        <v>0</v>
      </c>
    </row>
    <row r="304" spans="1:21" s="59" customFormat="1" ht="15.75">
      <c r="A304" s="769"/>
      <c r="B304" s="656"/>
      <c r="C304" s="404"/>
      <c r="D304" s="641"/>
      <c r="E304" s="405"/>
      <c r="F304" s="690"/>
      <c r="G304" s="690"/>
      <c r="H304" s="690"/>
      <c r="I304" s="690"/>
      <c r="J304" s="690"/>
      <c r="K304" s="690"/>
      <c r="L304" s="690"/>
      <c r="M304" s="690"/>
      <c r="N304" s="690"/>
      <c r="O304" s="690"/>
      <c r="P304" s="690"/>
      <c r="Q304" s="690"/>
      <c r="R304" s="690"/>
      <c r="S304" s="690"/>
      <c r="T304" s="690"/>
      <c r="U304" s="690"/>
    </row>
    <row r="305" spans="1:21" s="288" customFormat="1" ht="15.75">
      <c r="A305" s="417" t="s">
        <v>347</v>
      </c>
      <c r="B305" s="693" t="s">
        <v>122</v>
      </c>
      <c r="C305" s="427"/>
      <c r="D305" s="398"/>
      <c r="E305" s="399"/>
      <c r="F305" s="666"/>
      <c r="G305" s="666"/>
      <c r="H305" s="668">
        <f>0.01*H$258</f>
        <v>13.530000000000001</v>
      </c>
      <c r="I305" s="668">
        <f>0.05*I$258</f>
        <v>135.30000000000001</v>
      </c>
      <c r="J305" s="668">
        <f t="shared" ref="J305" si="106">0.05*J$258</f>
        <v>67.650000000000006</v>
      </c>
      <c r="K305" s="668">
        <f>0.01*K$258</f>
        <v>13.530000000000001</v>
      </c>
      <c r="L305" s="668"/>
      <c r="M305" s="668"/>
      <c r="N305" s="668"/>
      <c r="O305" s="668"/>
      <c r="P305" s="668"/>
      <c r="Q305" s="668">
        <f t="shared" ref="Q305:R305" si="107">0.01*Q$258</f>
        <v>40.589999999999996</v>
      </c>
      <c r="R305" s="668">
        <f t="shared" si="107"/>
        <v>40.589999999999996</v>
      </c>
      <c r="S305" s="666">
        <v>0</v>
      </c>
      <c r="T305" s="666">
        <v>0</v>
      </c>
      <c r="U305" s="666">
        <v>0</v>
      </c>
    </row>
    <row r="306" spans="1:21" s="432" customFormat="1" ht="15.75">
      <c r="A306" s="526" t="s">
        <v>348</v>
      </c>
      <c r="B306" s="695" t="s">
        <v>326</v>
      </c>
      <c r="C306" s="428"/>
      <c r="D306" s="430" t="s">
        <v>890</v>
      </c>
      <c r="E306" s="431"/>
      <c r="F306" s="683"/>
      <c r="G306" s="683"/>
      <c r="H306" s="692">
        <f>0.1*H$305</f>
        <v>1.3530000000000002</v>
      </c>
      <c r="I306" s="692">
        <f>0.1*I$305</f>
        <v>13.530000000000001</v>
      </c>
      <c r="J306" s="692">
        <f>0.1*J$305</f>
        <v>6.7650000000000006</v>
      </c>
      <c r="K306" s="692">
        <f>0.1*K$305</f>
        <v>1.3530000000000002</v>
      </c>
      <c r="L306" s="692"/>
      <c r="M306" s="692"/>
      <c r="N306" s="692"/>
      <c r="O306" s="692"/>
      <c r="P306" s="692"/>
      <c r="Q306" s="692">
        <f>0.1*Q$305</f>
        <v>4.0590000000000002</v>
      </c>
      <c r="R306" s="692">
        <f>0.1*R$305</f>
        <v>4.0590000000000002</v>
      </c>
      <c r="S306" s="463"/>
      <c r="T306" s="463"/>
      <c r="U306" s="441"/>
    </row>
    <row r="307" spans="1:21" s="432" customFormat="1" ht="15.75">
      <c r="A307" s="526" t="s">
        <v>349</v>
      </c>
      <c r="B307" s="695" t="s">
        <v>135</v>
      </c>
      <c r="C307" s="429"/>
      <c r="D307" s="430" t="s">
        <v>890</v>
      </c>
      <c r="E307" s="431"/>
      <c r="F307" s="683"/>
      <c r="G307" s="683"/>
      <c r="H307" s="692">
        <f>0.2*H305</f>
        <v>2.7060000000000004</v>
      </c>
      <c r="I307" s="692">
        <f t="shared" ref="I307:R307" si="108">0.2*I305</f>
        <v>27.060000000000002</v>
      </c>
      <c r="J307" s="692">
        <f t="shared" si="108"/>
        <v>13.530000000000001</v>
      </c>
      <c r="K307" s="692">
        <f t="shared" si="108"/>
        <v>2.7060000000000004</v>
      </c>
      <c r="L307" s="692"/>
      <c r="M307" s="692"/>
      <c r="N307" s="692"/>
      <c r="O307" s="692"/>
      <c r="P307" s="692"/>
      <c r="Q307" s="692">
        <f t="shared" si="108"/>
        <v>8.1180000000000003</v>
      </c>
      <c r="R307" s="692">
        <f t="shared" si="108"/>
        <v>8.1180000000000003</v>
      </c>
      <c r="S307" s="442"/>
      <c r="T307" s="442"/>
      <c r="U307" s="441"/>
    </row>
    <row r="308" spans="1:21" s="432" customFormat="1" ht="15.75">
      <c r="A308" s="657" t="s">
        <v>350</v>
      </c>
      <c r="B308" s="658" t="s">
        <v>105</v>
      </c>
      <c r="C308" s="429"/>
      <c r="D308" s="430" t="s">
        <v>890</v>
      </c>
      <c r="E308" s="431"/>
      <c r="F308" s="683"/>
      <c r="G308" s="683"/>
      <c r="H308" s="692">
        <f t="shared" ref="H308:R308" si="109">0.1*H$305</f>
        <v>1.3530000000000002</v>
      </c>
      <c r="I308" s="692">
        <f t="shared" si="109"/>
        <v>13.530000000000001</v>
      </c>
      <c r="J308" s="692">
        <f t="shared" si="109"/>
        <v>6.7650000000000006</v>
      </c>
      <c r="K308" s="692">
        <f t="shared" si="109"/>
        <v>1.3530000000000002</v>
      </c>
      <c r="L308" s="692"/>
      <c r="M308" s="692"/>
      <c r="N308" s="692"/>
      <c r="O308" s="692"/>
      <c r="P308" s="692"/>
      <c r="Q308" s="692">
        <f t="shared" si="109"/>
        <v>4.0590000000000002</v>
      </c>
      <c r="R308" s="692">
        <f t="shared" si="109"/>
        <v>4.0590000000000002</v>
      </c>
      <c r="S308" s="442"/>
      <c r="T308" s="442"/>
      <c r="U308" s="441"/>
    </row>
    <row r="309" spans="1:21" s="59" customFormat="1" ht="15.75">
      <c r="A309" s="769" t="s">
        <v>351</v>
      </c>
      <c r="B309" s="656" t="s">
        <v>142</v>
      </c>
      <c r="C309" s="404"/>
      <c r="D309" s="641" t="s">
        <v>890</v>
      </c>
      <c r="E309" s="405"/>
      <c r="F309" s="683"/>
      <c r="G309" s="683"/>
      <c r="H309" s="692">
        <f t="shared" ref="H309:K309" si="110">0.35*H$305</f>
        <v>4.7355</v>
      </c>
      <c r="I309" s="692">
        <f t="shared" si="110"/>
        <v>47.355000000000004</v>
      </c>
      <c r="J309" s="692">
        <f t="shared" si="110"/>
        <v>23.677500000000002</v>
      </c>
      <c r="K309" s="692">
        <f t="shared" si="110"/>
        <v>4.7355</v>
      </c>
      <c r="L309" s="692"/>
      <c r="M309" s="692"/>
      <c r="N309" s="692"/>
      <c r="O309" s="692"/>
      <c r="P309" s="692"/>
      <c r="Q309" s="692">
        <f>0.35*Q$305</f>
        <v>14.206499999999998</v>
      </c>
      <c r="R309" s="692">
        <f>0.35*R$305</f>
        <v>14.206499999999998</v>
      </c>
      <c r="S309" s="442"/>
      <c r="T309" s="442"/>
      <c r="U309" s="454"/>
    </row>
    <row r="310" spans="1:21" s="59" customFormat="1" ht="15.75">
      <c r="A310" s="769" t="s">
        <v>352</v>
      </c>
      <c r="B310" s="656" t="s">
        <v>150</v>
      </c>
      <c r="C310" s="404"/>
      <c r="D310" s="641" t="s">
        <v>890</v>
      </c>
      <c r="E310" s="405"/>
      <c r="F310" s="683"/>
      <c r="G310" s="683"/>
      <c r="H310" s="692">
        <f>0.25*H305</f>
        <v>3.3825000000000003</v>
      </c>
      <c r="I310" s="692">
        <f t="shared" ref="I310:R310" si="111">0.25*I305</f>
        <v>33.825000000000003</v>
      </c>
      <c r="J310" s="692">
        <f t="shared" si="111"/>
        <v>16.912500000000001</v>
      </c>
      <c r="K310" s="692">
        <f t="shared" si="111"/>
        <v>3.3825000000000003</v>
      </c>
      <c r="L310" s="692"/>
      <c r="M310" s="692"/>
      <c r="N310" s="692"/>
      <c r="O310" s="692"/>
      <c r="P310" s="692"/>
      <c r="Q310" s="692">
        <f t="shared" si="111"/>
        <v>10.147499999999999</v>
      </c>
      <c r="R310" s="692">
        <f t="shared" si="111"/>
        <v>10.147499999999999</v>
      </c>
      <c r="S310" s="442"/>
      <c r="T310" s="442"/>
      <c r="U310" s="454"/>
    </row>
    <row r="311" spans="1:21" s="284" customFormat="1" ht="15.75">
      <c r="A311" s="769"/>
      <c r="B311" s="656"/>
      <c r="C311" s="404"/>
      <c r="D311" s="641"/>
      <c r="E311" s="405"/>
      <c r="F311" s="664">
        <f t="shared" ref="F311:U311" si="112">F305-SUM(F306:F310)</f>
        <v>0</v>
      </c>
      <c r="G311" s="664">
        <f t="shared" si="112"/>
        <v>0</v>
      </c>
      <c r="H311" s="664">
        <f t="shared" si="112"/>
        <v>0</v>
      </c>
      <c r="I311" s="664">
        <f t="shared" si="112"/>
        <v>0</v>
      </c>
      <c r="J311" s="664">
        <f t="shared" si="112"/>
        <v>0</v>
      </c>
      <c r="K311" s="664">
        <f>K305-SUM(K306:K310)</f>
        <v>0</v>
      </c>
      <c r="L311" s="664">
        <f t="shared" si="112"/>
        <v>0</v>
      </c>
      <c r="M311" s="664">
        <f t="shared" si="112"/>
        <v>0</v>
      </c>
      <c r="N311" s="664">
        <f t="shared" si="112"/>
        <v>0</v>
      </c>
      <c r="O311" s="664">
        <f t="shared" si="112"/>
        <v>0</v>
      </c>
      <c r="P311" s="664"/>
      <c r="Q311" s="664">
        <f t="shared" si="112"/>
        <v>0</v>
      </c>
      <c r="R311" s="664">
        <f t="shared" si="112"/>
        <v>0</v>
      </c>
      <c r="S311" s="664">
        <f t="shared" si="112"/>
        <v>0</v>
      </c>
      <c r="T311" s="664">
        <f t="shared" si="112"/>
        <v>0</v>
      </c>
      <c r="U311" s="664">
        <f t="shared" si="112"/>
        <v>0</v>
      </c>
    </row>
    <row r="312" spans="1:21" s="59" customFormat="1" ht="15.75">
      <c r="A312" s="769"/>
      <c r="B312" s="656"/>
      <c r="C312" s="404"/>
      <c r="D312" s="641"/>
      <c r="E312" s="405"/>
      <c r="F312" s="690"/>
      <c r="G312" s="690"/>
      <c r="H312" s="690"/>
      <c r="I312" s="690"/>
      <c r="J312" s="690"/>
      <c r="K312" s="690"/>
      <c r="L312" s="690"/>
      <c r="M312" s="690"/>
      <c r="N312" s="690"/>
      <c r="O312" s="690"/>
      <c r="P312" s="690"/>
      <c r="Q312" s="690"/>
      <c r="R312" s="690"/>
      <c r="S312" s="690"/>
      <c r="T312" s="690"/>
      <c r="U312" s="690"/>
    </row>
    <row r="313" spans="1:21" s="288" customFormat="1" ht="15.75">
      <c r="A313" s="417" t="s">
        <v>353</v>
      </c>
      <c r="B313" s="693" t="s">
        <v>354</v>
      </c>
      <c r="C313" s="289"/>
      <c r="D313" s="398"/>
      <c r="E313" s="399"/>
      <c r="F313" s="666"/>
      <c r="G313" s="666"/>
      <c r="H313" s="668">
        <f>0.01*H$258</f>
        <v>13.530000000000001</v>
      </c>
      <c r="I313" s="668">
        <f>0.06*I$258</f>
        <v>162.35999999999999</v>
      </c>
      <c r="J313" s="668">
        <f>0.05*J$258</f>
        <v>67.650000000000006</v>
      </c>
      <c r="K313" s="668">
        <f>0.01*K$258</f>
        <v>13.530000000000001</v>
      </c>
      <c r="L313" s="668"/>
      <c r="M313" s="668"/>
      <c r="N313" s="668"/>
      <c r="O313" s="668"/>
      <c r="P313" s="668"/>
      <c r="Q313" s="668">
        <f>0.02*Q$258</f>
        <v>81.179999999999993</v>
      </c>
      <c r="R313" s="668">
        <f>0.02*R$258</f>
        <v>81.179999999999993</v>
      </c>
      <c r="S313" s="666">
        <v>0</v>
      </c>
      <c r="T313" s="666">
        <v>0</v>
      </c>
      <c r="U313" s="666">
        <v>0</v>
      </c>
    </row>
    <row r="314" spans="1:21" s="432" customFormat="1" ht="15.75">
      <c r="A314" s="526" t="s">
        <v>355</v>
      </c>
      <c r="B314" s="695" t="s">
        <v>326</v>
      </c>
      <c r="C314" s="428"/>
      <c r="D314" s="430" t="s">
        <v>890</v>
      </c>
      <c r="E314" s="431"/>
      <c r="F314" s="683"/>
      <c r="G314" s="683"/>
      <c r="H314" s="692">
        <f>0.2*H313</f>
        <v>2.7060000000000004</v>
      </c>
      <c r="I314" s="692">
        <f t="shared" ref="I314:R314" si="113">0.2*I313</f>
        <v>32.472000000000001</v>
      </c>
      <c r="J314" s="692">
        <f t="shared" si="113"/>
        <v>13.530000000000001</v>
      </c>
      <c r="K314" s="692">
        <f t="shared" si="113"/>
        <v>2.7060000000000004</v>
      </c>
      <c r="L314" s="692"/>
      <c r="M314" s="692"/>
      <c r="N314" s="692"/>
      <c r="O314" s="692"/>
      <c r="P314" s="692"/>
      <c r="Q314" s="692">
        <f t="shared" si="113"/>
        <v>16.236000000000001</v>
      </c>
      <c r="R314" s="692">
        <f t="shared" si="113"/>
        <v>16.236000000000001</v>
      </c>
      <c r="S314" s="463"/>
      <c r="T314" s="463"/>
      <c r="U314" s="441"/>
    </row>
    <row r="315" spans="1:21" s="432" customFormat="1" ht="15.75">
      <c r="A315" s="526" t="s">
        <v>356</v>
      </c>
      <c r="B315" s="695" t="s">
        <v>135</v>
      </c>
      <c r="C315" s="429"/>
      <c r="D315" s="430" t="s">
        <v>890</v>
      </c>
      <c r="E315" s="431"/>
      <c r="F315" s="683"/>
      <c r="G315" s="683"/>
      <c r="H315" s="692">
        <f t="shared" ref="H315:R316" si="114">0.1*H$313</f>
        <v>1.3530000000000002</v>
      </c>
      <c r="I315" s="692">
        <f t="shared" si="114"/>
        <v>16.236000000000001</v>
      </c>
      <c r="J315" s="692">
        <f t="shared" si="114"/>
        <v>6.7650000000000006</v>
      </c>
      <c r="K315" s="692">
        <f t="shared" si="114"/>
        <v>1.3530000000000002</v>
      </c>
      <c r="L315" s="692"/>
      <c r="M315" s="692"/>
      <c r="N315" s="692"/>
      <c r="O315" s="692"/>
      <c r="P315" s="692"/>
      <c r="Q315" s="692">
        <f t="shared" si="114"/>
        <v>8.1180000000000003</v>
      </c>
      <c r="R315" s="692">
        <f t="shared" si="114"/>
        <v>8.1180000000000003</v>
      </c>
      <c r="S315" s="442"/>
      <c r="T315" s="442"/>
      <c r="U315" s="441"/>
    </row>
    <row r="316" spans="1:21" s="432" customFormat="1" ht="15.75">
      <c r="A316" s="657" t="s">
        <v>357</v>
      </c>
      <c r="B316" s="658" t="s">
        <v>105</v>
      </c>
      <c r="C316" s="429"/>
      <c r="D316" s="430" t="s">
        <v>890</v>
      </c>
      <c r="E316" s="431"/>
      <c r="F316" s="683"/>
      <c r="G316" s="683"/>
      <c r="H316" s="692">
        <f t="shared" si="114"/>
        <v>1.3530000000000002</v>
      </c>
      <c r="I316" s="692">
        <f t="shared" si="114"/>
        <v>16.236000000000001</v>
      </c>
      <c r="J316" s="692">
        <f t="shared" si="114"/>
        <v>6.7650000000000006</v>
      </c>
      <c r="K316" s="692">
        <f t="shared" si="114"/>
        <v>1.3530000000000002</v>
      </c>
      <c r="L316" s="692"/>
      <c r="M316" s="692"/>
      <c r="N316" s="692"/>
      <c r="O316" s="692"/>
      <c r="P316" s="692"/>
      <c r="Q316" s="692">
        <f t="shared" si="114"/>
        <v>8.1180000000000003</v>
      </c>
      <c r="R316" s="692">
        <f t="shared" si="114"/>
        <v>8.1180000000000003</v>
      </c>
      <c r="S316" s="442"/>
      <c r="T316" s="442"/>
      <c r="U316" s="441"/>
    </row>
    <row r="317" spans="1:21" s="369" customFormat="1" ht="15.75">
      <c r="A317" s="769" t="s">
        <v>358</v>
      </c>
      <c r="B317" s="658" t="s">
        <v>142</v>
      </c>
      <c r="C317" s="429"/>
      <c r="D317" s="430" t="s">
        <v>890</v>
      </c>
      <c r="E317" s="431"/>
      <c r="F317" s="683"/>
      <c r="G317" s="683"/>
      <c r="H317" s="692">
        <f t="shared" ref="H317:K317" si="115">0.35*H$313</f>
        <v>4.7355</v>
      </c>
      <c r="I317" s="692">
        <f t="shared" si="115"/>
        <v>56.825999999999993</v>
      </c>
      <c r="J317" s="692">
        <f t="shared" si="115"/>
        <v>23.677500000000002</v>
      </c>
      <c r="K317" s="692">
        <f t="shared" si="115"/>
        <v>4.7355</v>
      </c>
      <c r="L317" s="692"/>
      <c r="M317" s="692"/>
      <c r="N317" s="692"/>
      <c r="O317" s="692"/>
      <c r="P317" s="692"/>
      <c r="Q317" s="692">
        <f>0.35*Q$313</f>
        <v>28.412999999999997</v>
      </c>
      <c r="R317" s="692">
        <f>0.35*R$313</f>
        <v>28.412999999999997</v>
      </c>
      <c r="S317" s="442"/>
      <c r="T317" s="442"/>
      <c r="U317" s="441"/>
    </row>
    <row r="318" spans="1:21" s="59" customFormat="1" ht="15.75">
      <c r="A318" s="769" t="s">
        <v>359</v>
      </c>
      <c r="B318" s="656" t="s">
        <v>150</v>
      </c>
      <c r="C318" s="404"/>
      <c r="D318" s="641" t="s">
        <v>890</v>
      </c>
      <c r="E318" s="405"/>
      <c r="F318" s="683"/>
      <c r="G318" s="683"/>
      <c r="H318" s="692">
        <f>0.25*H313</f>
        <v>3.3825000000000003</v>
      </c>
      <c r="I318" s="692">
        <f t="shared" ref="I318:R318" si="116">0.25*I313</f>
        <v>40.589999999999996</v>
      </c>
      <c r="J318" s="692">
        <f t="shared" si="116"/>
        <v>16.912500000000001</v>
      </c>
      <c r="K318" s="692">
        <f t="shared" si="116"/>
        <v>3.3825000000000003</v>
      </c>
      <c r="L318" s="692"/>
      <c r="M318" s="692"/>
      <c r="N318" s="692"/>
      <c r="O318" s="692"/>
      <c r="P318" s="692"/>
      <c r="Q318" s="692">
        <f t="shared" si="116"/>
        <v>20.294999999999998</v>
      </c>
      <c r="R318" s="692">
        <f t="shared" si="116"/>
        <v>20.294999999999998</v>
      </c>
      <c r="S318" s="442"/>
      <c r="T318" s="442"/>
      <c r="U318" s="454"/>
    </row>
    <row r="319" spans="1:21" s="284" customFormat="1" ht="15.75">
      <c r="A319" s="769"/>
      <c r="B319" s="656"/>
      <c r="C319" s="404"/>
      <c r="D319" s="641"/>
      <c r="E319" s="405"/>
      <c r="F319" s="664">
        <f t="shared" ref="F319:U319" si="117">F313-SUM(F314:F318)</f>
        <v>0</v>
      </c>
      <c r="G319" s="664">
        <f t="shared" si="117"/>
        <v>0</v>
      </c>
      <c r="H319" s="664">
        <f t="shared" si="117"/>
        <v>0</v>
      </c>
      <c r="I319" s="664">
        <f t="shared" si="117"/>
        <v>0</v>
      </c>
      <c r="J319" s="664">
        <f t="shared" si="117"/>
        <v>0</v>
      </c>
      <c r="K319" s="664">
        <f>K313-SUM(K314:K318)</f>
        <v>0</v>
      </c>
      <c r="L319" s="664">
        <f t="shared" si="117"/>
        <v>0</v>
      </c>
      <c r="M319" s="664">
        <f t="shared" si="117"/>
        <v>0</v>
      </c>
      <c r="N319" s="664">
        <f t="shared" si="117"/>
        <v>0</v>
      </c>
      <c r="O319" s="664">
        <f t="shared" si="117"/>
        <v>0</v>
      </c>
      <c r="P319" s="664"/>
      <c r="Q319" s="664">
        <f t="shared" si="117"/>
        <v>0</v>
      </c>
      <c r="R319" s="664">
        <f t="shared" si="117"/>
        <v>0</v>
      </c>
      <c r="S319" s="664">
        <f t="shared" si="117"/>
        <v>0</v>
      </c>
      <c r="T319" s="664">
        <f t="shared" si="117"/>
        <v>0</v>
      </c>
      <c r="U319" s="664">
        <f t="shared" si="117"/>
        <v>0</v>
      </c>
    </row>
    <row r="320" spans="1:21" s="59" customFormat="1" ht="15.75">
      <c r="A320" s="769"/>
      <c r="B320" s="656"/>
      <c r="C320" s="404"/>
      <c r="D320" s="641"/>
      <c r="E320" s="405"/>
      <c r="F320" s="690"/>
      <c r="G320" s="690"/>
      <c r="H320" s="690"/>
      <c r="I320" s="690"/>
      <c r="J320" s="690"/>
      <c r="K320" s="690"/>
      <c r="L320" s="690"/>
      <c r="M320" s="690"/>
      <c r="N320" s="690"/>
      <c r="O320" s="690"/>
      <c r="P320" s="690"/>
      <c r="Q320" s="690"/>
      <c r="R320" s="690"/>
      <c r="S320" s="690"/>
      <c r="T320" s="690"/>
      <c r="U320" s="690"/>
    </row>
    <row r="321" spans="1:21" s="288" customFormat="1" ht="15.75">
      <c r="A321" s="477" t="s">
        <v>360</v>
      </c>
      <c r="B321" s="693" t="s">
        <v>126</v>
      </c>
      <c r="C321" s="427"/>
      <c r="D321" s="398"/>
      <c r="E321" s="399"/>
      <c r="F321" s="666"/>
      <c r="G321" s="666"/>
      <c r="H321" s="668">
        <f>0.01*H258</f>
        <v>13.530000000000001</v>
      </c>
      <c r="I321" s="668">
        <f>0.05*I258</f>
        <v>135.30000000000001</v>
      </c>
      <c r="J321" s="668">
        <f>0.02*J258</f>
        <v>27.060000000000002</v>
      </c>
      <c r="K321" s="668">
        <f>0.01*K258</f>
        <v>13.530000000000001</v>
      </c>
      <c r="L321" s="668"/>
      <c r="M321" s="668"/>
      <c r="N321" s="668"/>
      <c r="O321" s="668"/>
      <c r="P321" s="668"/>
      <c r="Q321" s="668">
        <f t="shared" ref="Q321:R321" si="118">0.01*Q258</f>
        <v>40.589999999999996</v>
      </c>
      <c r="R321" s="668">
        <f t="shared" si="118"/>
        <v>40.589999999999996</v>
      </c>
      <c r="S321" s="666">
        <v>0</v>
      </c>
      <c r="T321" s="666">
        <v>0</v>
      </c>
      <c r="U321" s="666">
        <v>0</v>
      </c>
    </row>
    <row r="322" spans="1:21" s="432" customFormat="1" ht="15.75">
      <c r="A322" s="525" t="s">
        <v>361</v>
      </c>
      <c r="B322" s="695" t="s">
        <v>326</v>
      </c>
      <c r="C322" s="434"/>
      <c r="D322" s="430" t="s">
        <v>890</v>
      </c>
      <c r="E322" s="435"/>
      <c r="F322" s="683"/>
      <c r="G322" s="683"/>
      <c r="H322" s="692">
        <f>0.2*H321</f>
        <v>2.7060000000000004</v>
      </c>
      <c r="I322" s="692">
        <f t="shared" ref="I322:R322" si="119">0.2*I321</f>
        <v>27.060000000000002</v>
      </c>
      <c r="J322" s="692">
        <f t="shared" si="119"/>
        <v>5.4120000000000008</v>
      </c>
      <c r="K322" s="692">
        <f t="shared" si="119"/>
        <v>2.7060000000000004</v>
      </c>
      <c r="L322" s="692"/>
      <c r="M322" s="692"/>
      <c r="N322" s="692"/>
      <c r="O322" s="692"/>
      <c r="P322" s="692"/>
      <c r="Q322" s="692">
        <f>0.2*Q321</f>
        <v>8.1180000000000003</v>
      </c>
      <c r="R322" s="692">
        <f t="shared" si="119"/>
        <v>8.1180000000000003</v>
      </c>
      <c r="S322" s="463"/>
      <c r="T322" s="463"/>
      <c r="U322" s="441"/>
    </row>
    <row r="323" spans="1:21" s="432" customFormat="1" ht="15.75">
      <c r="A323" s="525" t="s">
        <v>362</v>
      </c>
      <c r="B323" s="695" t="s">
        <v>135</v>
      </c>
      <c r="C323" s="429"/>
      <c r="D323" s="430" t="s">
        <v>890</v>
      </c>
      <c r="E323" s="431"/>
      <c r="F323" s="683"/>
      <c r="G323" s="683"/>
      <c r="H323" s="692">
        <f t="shared" ref="H323:R324" si="120">0.1*H$321</f>
        <v>1.3530000000000002</v>
      </c>
      <c r="I323" s="692">
        <f t="shared" si="120"/>
        <v>13.530000000000001</v>
      </c>
      <c r="J323" s="692">
        <f t="shared" si="120"/>
        <v>2.7060000000000004</v>
      </c>
      <c r="K323" s="692">
        <f t="shared" si="120"/>
        <v>1.3530000000000002</v>
      </c>
      <c r="L323" s="692"/>
      <c r="M323" s="692"/>
      <c r="N323" s="692"/>
      <c r="O323" s="692"/>
      <c r="P323" s="692"/>
      <c r="Q323" s="692">
        <f t="shared" si="120"/>
        <v>4.0590000000000002</v>
      </c>
      <c r="R323" s="692">
        <f t="shared" si="120"/>
        <v>4.0590000000000002</v>
      </c>
      <c r="S323" s="442"/>
      <c r="T323" s="442"/>
      <c r="U323" s="441"/>
    </row>
    <row r="324" spans="1:21" s="432" customFormat="1" ht="15.75">
      <c r="A324" s="433" t="s">
        <v>363</v>
      </c>
      <c r="B324" s="658" t="s">
        <v>105</v>
      </c>
      <c r="C324" s="429"/>
      <c r="D324" s="430" t="s">
        <v>890</v>
      </c>
      <c r="E324" s="431"/>
      <c r="F324" s="683"/>
      <c r="G324" s="683"/>
      <c r="H324" s="692">
        <f t="shared" si="120"/>
        <v>1.3530000000000002</v>
      </c>
      <c r="I324" s="692">
        <f t="shared" si="120"/>
        <v>13.530000000000001</v>
      </c>
      <c r="J324" s="692">
        <f t="shared" si="120"/>
        <v>2.7060000000000004</v>
      </c>
      <c r="K324" s="692">
        <f t="shared" si="120"/>
        <v>1.3530000000000002</v>
      </c>
      <c r="L324" s="692"/>
      <c r="M324" s="692"/>
      <c r="N324" s="692"/>
      <c r="O324" s="692"/>
      <c r="P324" s="692"/>
      <c r="Q324" s="692">
        <f t="shared" si="120"/>
        <v>4.0590000000000002</v>
      </c>
      <c r="R324" s="692">
        <f t="shared" si="120"/>
        <v>4.0590000000000002</v>
      </c>
      <c r="S324" s="442"/>
      <c r="T324" s="442"/>
      <c r="U324" s="441"/>
    </row>
    <row r="325" spans="1:21" s="59" customFormat="1" ht="15.75">
      <c r="A325" s="426" t="s">
        <v>364</v>
      </c>
      <c r="B325" s="658" t="s">
        <v>142</v>
      </c>
      <c r="C325" s="404"/>
      <c r="D325" s="641" t="s">
        <v>890</v>
      </c>
      <c r="E325" s="405"/>
      <c r="F325" s="683"/>
      <c r="G325" s="683"/>
      <c r="H325" s="692">
        <f t="shared" ref="H325:K325" si="121">0.35*H$321</f>
        <v>4.7355</v>
      </c>
      <c r="I325" s="692">
        <f t="shared" si="121"/>
        <v>47.355000000000004</v>
      </c>
      <c r="J325" s="692">
        <f t="shared" si="121"/>
        <v>9.4710000000000001</v>
      </c>
      <c r="K325" s="692">
        <f t="shared" si="121"/>
        <v>4.7355</v>
      </c>
      <c r="L325" s="692"/>
      <c r="M325" s="692"/>
      <c r="N325" s="692"/>
      <c r="O325" s="692"/>
      <c r="P325" s="692"/>
      <c r="Q325" s="692">
        <f>0.35*Q$321</f>
        <v>14.206499999999998</v>
      </c>
      <c r="R325" s="692">
        <f>0.35*R$321</f>
        <v>14.206499999999998</v>
      </c>
      <c r="S325" s="442"/>
      <c r="T325" s="442"/>
      <c r="U325" s="454"/>
    </row>
    <row r="326" spans="1:21" s="59" customFormat="1" ht="15.75">
      <c r="A326" s="426" t="s">
        <v>365</v>
      </c>
      <c r="B326" s="658" t="s">
        <v>150</v>
      </c>
      <c r="C326" s="404"/>
      <c r="D326" s="641" t="s">
        <v>890</v>
      </c>
      <c r="E326" s="405"/>
      <c r="F326" s="683"/>
      <c r="G326" s="683"/>
      <c r="H326" s="692">
        <f>0.25*H321</f>
        <v>3.3825000000000003</v>
      </c>
      <c r="I326" s="692">
        <f t="shared" ref="I326:R326" si="122">0.25*I321</f>
        <v>33.825000000000003</v>
      </c>
      <c r="J326" s="692">
        <f t="shared" si="122"/>
        <v>6.7650000000000006</v>
      </c>
      <c r="K326" s="692">
        <f t="shared" si="122"/>
        <v>3.3825000000000003</v>
      </c>
      <c r="L326" s="692"/>
      <c r="M326" s="692"/>
      <c r="N326" s="692"/>
      <c r="O326" s="692"/>
      <c r="P326" s="692"/>
      <c r="Q326" s="692">
        <f t="shared" si="122"/>
        <v>10.147499999999999</v>
      </c>
      <c r="R326" s="692">
        <f t="shared" si="122"/>
        <v>10.147499999999999</v>
      </c>
      <c r="S326" s="442"/>
      <c r="T326" s="442"/>
      <c r="U326" s="454"/>
    </row>
    <row r="327" spans="1:21" s="284" customFormat="1" ht="15.75">
      <c r="A327" s="426"/>
      <c r="B327" s="656"/>
      <c r="C327" s="404"/>
      <c r="D327" s="641"/>
      <c r="E327" s="405"/>
      <c r="F327" s="664">
        <f t="shared" ref="F327:U327" si="123">F321-SUM(F322:F326)</f>
        <v>0</v>
      </c>
      <c r="G327" s="664">
        <f t="shared" si="123"/>
        <v>0</v>
      </c>
      <c r="H327" s="664">
        <f t="shared" si="123"/>
        <v>0</v>
      </c>
      <c r="I327" s="664">
        <f t="shared" si="123"/>
        <v>0</v>
      </c>
      <c r="J327" s="664">
        <f t="shared" si="123"/>
        <v>0</v>
      </c>
      <c r="K327" s="664">
        <f t="shared" si="123"/>
        <v>0</v>
      </c>
      <c r="L327" s="664"/>
      <c r="M327" s="664"/>
      <c r="N327" s="664"/>
      <c r="O327" s="664"/>
      <c r="P327" s="664"/>
      <c r="Q327" s="664">
        <f t="shared" si="123"/>
        <v>0</v>
      </c>
      <c r="R327" s="664">
        <f t="shared" si="123"/>
        <v>0</v>
      </c>
      <c r="S327" s="664">
        <f t="shared" si="123"/>
        <v>0</v>
      </c>
      <c r="T327" s="664">
        <f t="shared" si="123"/>
        <v>0</v>
      </c>
      <c r="U327" s="664">
        <f t="shared" si="123"/>
        <v>0</v>
      </c>
    </row>
    <row r="328" spans="1:21" s="59" customFormat="1" ht="15.75">
      <c r="A328" s="769"/>
      <c r="B328" s="656"/>
      <c r="C328" s="404"/>
      <c r="D328" s="641"/>
      <c r="E328" s="405"/>
      <c r="F328" s="690"/>
      <c r="G328" s="690"/>
      <c r="H328" s="690"/>
      <c r="I328" s="690"/>
      <c r="J328" s="690"/>
      <c r="K328" s="690"/>
      <c r="L328" s="690"/>
      <c r="M328" s="690"/>
      <c r="N328" s="690"/>
      <c r="O328" s="690"/>
      <c r="P328" s="690"/>
      <c r="Q328" s="690"/>
      <c r="R328" s="690"/>
      <c r="S328" s="690"/>
      <c r="T328" s="690"/>
      <c r="U328" s="690"/>
    </row>
    <row r="329" spans="1:21" s="385" customFormat="1" ht="15.75">
      <c r="A329" s="477" t="s">
        <v>366</v>
      </c>
      <c r="B329" s="693" t="s">
        <v>367</v>
      </c>
      <c r="C329" s="427"/>
      <c r="D329" s="398"/>
      <c r="E329" s="399"/>
      <c r="F329" s="666">
        <f>0.03*F$258</f>
        <v>92.003999999999991</v>
      </c>
      <c r="G329" s="666">
        <f>0.02*G$258</f>
        <v>27.060000000000002</v>
      </c>
      <c r="H329" s="668">
        <f>0.01*H$258</f>
        <v>13.530000000000001</v>
      </c>
      <c r="I329" s="669">
        <v>0</v>
      </c>
      <c r="J329" s="668">
        <f>0.015*J$258</f>
        <v>20.294999999999998</v>
      </c>
      <c r="K329" s="668">
        <f>0.01*K$258</f>
        <v>13.530000000000001</v>
      </c>
      <c r="L329" s="668"/>
      <c r="M329" s="668"/>
      <c r="N329" s="668"/>
      <c r="O329" s="669">
        <v>0</v>
      </c>
      <c r="P329" s="669"/>
      <c r="Q329" s="668">
        <f>0.05*Q$258</f>
        <v>202.95</v>
      </c>
      <c r="R329" s="668">
        <f>0.03*R$258</f>
        <v>121.76999999999998</v>
      </c>
      <c r="S329" s="669">
        <v>0</v>
      </c>
      <c r="T329" s="669">
        <v>0</v>
      </c>
      <c r="U329" s="669">
        <v>0</v>
      </c>
    </row>
    <row r="330" spans="1:21" s="432" customFormat="1" ht="15.75">
      <c r="A330" s="657" t="s">
        <v>368</v>
      </c>
      <c r="B330" s="658" t="s">
        <v>326</v>
      </c>
      <c r="C330" s="429"/>
      <c r="D330" s="430" t="s">
        <v>890</v>
      </c>
      <c r="E330" s="431"/>
      <c r="F330" s="692">
        <f>0.15*F$329</f>
        <v>13.800599999999998</v>
      </c>
      <c r="G330" s="692">
        <f>0.15*G$329</f>
        <v>4.0590000000000002</v>
      </c>
      <c r="H330" s="692">
        <f>0.15*H$329</f>
        <v>2.0295000000000001</v>
      </c>
      <c r="I330" s="692"/>
      <c r="J330" s="692">
        <f>0.15*J$329</f>
        <v>3.0442499999999995</v>
      </c>
      <c r="K330" s="692">
        <f>0.15*K$329</f>
        <v>2.0295000000000001</v>
      </c>
      <c r="L330" s="692"/>
      <c r="M330" s="692"/>
      <c r="N330" s="692"/>
      <c r="O330" s="692"/>
      <c r="P330" s="692"/>
      <c r="Q330" s="692">
        <f>0.15*Q$329</f>
        <v>30.442499999999995</v>
      </c>
      <c r="R330" s="692">
        <f>0.15*R$329</f>
        <v>18.265499999999996</v>
      </c>
      <c r="S330" s="692"/>
      <c r="T330" s="689"/>
      <c r="U330" s="437"/>
    </row>
    <row r="331" spans="1:21" s="432" customFormat="1" ht="15.75">
      <c r="A331" s="526" t="s">
        <v>369</v>
      </c>
      <c r="B331" s="695" t="s">
        <v>135</v>
      </c>
      <c r="C331" s="429"/>
      <c r="D331" s="430" t="s">
        <v>890</v>
      </c>
      <c r="E331" s="431"/>
      <c r="F331" s="692">
        <f>0.15*F329</f>
        <v>13.800599999999998</v>
      </c>
      <c r="G331" s="692">
        <f t="shared" ref="G331:R331" si="124">0.15*G329</f>
        <v>4.0590000000000002</v>
      </c>
      <c r="H331" s="692">
        <f t="shared" si="124"/>
        <v>2.0295000000000001</v>
      </c>
      <c r="I331" s="692"/>
      <c r="J331" s="692">
        <f t="shared" ref="J331" si="125">0.15*J329</f>
        <v>3.0442499999999995</v>
      </c>
      <c r="K331" s="692">
        <f t="shared" si="124"/>
        <v>2.0295000000000001</v>
      </c>
      <c r="L331" s="692"/>
      <c r="M331" s="692"/>
      <c r="N331" s="692"/>
      <c r="O331" s="692"/>
      <c r="P331" s="692"/>
      <c r="Q331" s="692">
        <f t="shared" si="124"/>
        <v>30.442499999999995</v>
      </c>
      <c r="R331" s="692">
        <f t="shared" si="124"/>
        <v>18.265499999999996</v>
      </c>
      <c r="S331" s="692"/>
      <c r="T331" s="689"/>
      <c r="U331" s="437"/>
    </row>
    <row r="332" spans="1:21" s="432" customFormat="1" ht="15.75">
      <c r="A332" s="526" t="s">
        <v>370</v>
      </c>
      <c r="B332" s="695" t="s">
        <v>112</v>
      </c>
      <c r="C332" s="429"/>
      <c r="D332" s="430" t="s">
        <v>890</v>
      </c>
      <c r="E332" s="431"/>
      <c r="F332" s="692">
        <f>0.15*F329</f>
        <v>13.800599999999998</v>
      </c>
      <c r="G332" s="692">
        <f t="shared" ref="G332:R332" si="126">0.15*G329</f>
        <v>4.0590000000000002</v>
      </c>
      <c r="H332" s="692">
        <f t="shared" si="126"/>
        <v>2.0295000000000001</v>
      </c>
      <c r="I332" s="692"/>
      <c r="J332" s="692">
        <f t="shared" ref="J332" si="127">0.15*J329</f>
        <v>3.0442499999999995</v>
      </c>
      <c r="K332" s="692">
        <f t="shared" si="126"/>
        <v>2.0295000000000001</v>
      </c>
      <c r="L332" s="692"/>
      <c r="M332" s="692"/>
      <c r="N332" s="692"/>
      <c r="O332" s="692"/>
      <c r="P332" s="692"/>
      <c r="Q332" s="692">
        <f>0.15*Q329</f>
        <v>30.442499999999995</v>
      </c>
      <c r="R332" s="692">
        <f t="shared" si="126"/>
        <v>18.265499999999996</v>
      </c>
      <c r="S332" s="692"/>
      <c r="T332" s="689"/>
      <c r="U332" s="437"/>
    </row>
    <row r="333" spans="1:21" s="432" customFormat="1" ht="15.75">
      <c r="A333" s="657" t="s">
        <v>371</v>
      </c>
      <c r="B333" s="658" t="s">
        <v>105</v>
      </c>
      <c r="C333" s="429"/>
      <c r="D333" s="430" t="s">
        <v>890</v>
      </c>
      <c r="E333" s="431"/>
      <c r="F333" s="692">
        <f t="shared" ref="F333:H333" si="128">0.1*F$329</f>
        <v>9.2004000000000001</v>
      </c>
      <c r="G333" s="692">
        <f t="shared" si="128"/>
        <v>2.7060000000000004</v>
      </c>
      <c r="H333" s="692">
        <f t="shared" si="128"/>
        <v>1.3530000000000002</v>
      </c>
      <c r="I333" s="692"/>
      <c r="J333" s="692">
        <f>0.1*J$329</f>
        <v>2.0295000000000001</v>
      </c>
      <c r="K333" s="692">
        <f>0.1*K$329</f>
        <v>1.3530000000000002</v>
      </c>
      <c r="L333" s="692"/>
      <c r="M333" s="692"/>
      <c r="N333" s="692"/>
      <c r="O333" s="692"/>
      <c r="P333" s="692"/>
      <c r="Q333" s="692">
        <f t="shared" ref="Q333:R333" si="129">0.1*Q$329</f>
        <v>20.295000000000002</v>
      </c>
      <c r="R333" s="692">
        <f t="shared" si="129"/>
        <v>12.177</v>
      </c>
      <c r="S333" s="692"/>
      <c r="T333" s="689"/>
      <c r="U333" s="437"/>
    </row>
    <row r="334" spans="1:21" s="59" customFormat="1" ht="15.75">
      <c r="A334" s="769" t="s">
        <v>372</v>
      </c>
      <c r="B334" s="658" t="s">
        <v>142</v>
      </c>
      <c r="C334" s="404"/>
      <c r="D334" s="641" t="s">
        <v>890</v>
      </c>
      <c r="E334" s="405"/>
      <c r="F334" s="692">
        <f>0.25*F$329</f>
        <v>23.000999999999998</v>
      </c>
      <c r="G334" s="692">
        <f>0.25*G$329</f>
        <v>6.7650000000000006</v>
      </c>
      <c r="H334" s="692">
        <f>0.25*H$329</f>
        <v>3.3825000000000003</v>
      </c>
      <c r="I334" s="692"/>
      <c r="J334" s="692">
        <f>0.25*J$329</f>
        <v>5.0737499999999995</v>
      </c>
      <c r="K334" s="692">
        <f>0.25*K$329</f>
        <v>3.3825000000000003</v>
      </c>
      <c r="L334" s="692"/>
      <c r="M334" s="692"/>
      <c r="N334" s="692"/>
      <c r="O334" s="692"/>
      <c r="P334" s="692"/>
      <c r="Q334" s="692">
        <f>0.25*Q$329</f>
        <v>50.737499999999997</v>
      </c>
      <c r="R334" s="692">
        <f>0.25*R$329</f>
        <v>30.442499999999995</v>
      </c>
      <c r="S334" s="692"/>
      <c r="T334" s="689"/>
      <c r="U334" s="457"/>
    </row>
    <row r="335" spans="1:21" s="59" customFormat="1" ht="15.75">
      <c r="A335" s="769" t="s">
        <v>373</v>
      </c>
      <c r="B335" s="658" t="s">
        <v>150</v>
      </c>
      <c r="C335" s="404"/>
      <c r="D335" s="641" t="s">
        <v>890</v>
      </c>
      <c r="E335" s="405"/>
      <c r="F335" s="692">
        <f>0.1*F329</f>
        <v>9.2004000000000001</v>
      </c>
      <c r="G335" s="692">
        <f t="shared" ref="G335:R335" si="130">0.1*G329</f>
        <v>2.7060000000000004</v>
      </c>
      <c r="H335" s="692">
        <f t="shared" si="130"/>
        <v>1.3530000000000002</v>
      </c>
      <c r="I335" s="692"/>
      <c r="J335" s="692">
        <f t="shared" ref="J335" si="131">0.1*J329</f>
        <v>2.0295000000000001</v>
      </c>
      <c r="K335" s="692">
        <f t="shared" si="130"/>
        <v>1.3530000000000002</v>
      </c>
      <c r="L335" s="692"/>
      <c r="M335" s="692"/>
      <c r="N335" s="692"/>
      <c r="O335" s="692"/>
      <c r="P335" s="692"/>
      <c r="Q335" s="692">
        <f t="shared" si="130"/>
        <v>20.295000000000002</v>
      </c>
      <c r="R335" s="692">
        <f t="shared" si="130"/>
        <v>12.177</v>
      </c>
      <c r="S335" s="692"/>
      <c r="T335" s="689"/>
      <c r="U335" s="457"/>
    </row>
    <row r="336" spans="1:21" s="59" customFormat="1" ht="15.75">
      <c r="A336" s="769" t="s">
        <v>374</v>
      </c>
      <c r="B336" s="658" t="s">
        <v>152</v>
      </c>
      <c r="C336" s="404"/>
      <c r="D336" s="641" t="s">
        <v>890</v>
      </c>
      <c r="E336" s="405"/>
      <c r="F336" s="692">
        <f>0.1*F329</f>
        <v>9.2004000000000001</v>
      </c>
      <c r="G336" s="692">
        <f t="shared" ref="G336:R336" si="132">0.1*G329</f>
        <v>2.7060000000000004</v>
      </c>
      <c r="H336" s="692">
        <f t="shared" si="132"/>
        <v>1.3530000000000002</v>
      </c>
      <c r="I336" s="692"/>
      <c r="J336" s="692">
        <f t="shared" ref="J336" si="133">0.1*J329</f>
        <v>2.0295000000000001</v>
      </c>
      <c r="K336" s="692">
        <f t="shared" si="132"/>
        <v>1.3530000000000002</v>
      </c>
      <c r="L336" s="692"/>
      <c r="M336" s="692"/>
      <c r="N336" s="692"/>
      <c r="O336" s="692"/>
      <c r="P336" s="692"/>
      <c r="Q336" s="692">
        <f t="shared" si="132"/>
        <v>20.295000000000002</v>
      </c>
      <c r="R336" s="692">
        <f t="shared" si="132"/>
        <v>12.177</v>
      </c>
      <c r="S336" s="692"/>
      <c r="T336" s="689"/>
      <c r="U336" s="457"/>
    </row>
    <row r="337" spans="1:23" s="240" customFormat="1" ht="15.75">
      <c r="A337" s="365"/>
      <c r="B337" s="616"/>
      <c r="C337" s="320"/>
      <c r="D337" s="238"/>
      <c r="E337" s="239"/>
      <c r="F337" s="664">
        <f t="shared" ref="F337:U337" si="134">F329-SUM(F330:F336)</f>
        <v>0</v>
      </c>
      <c r="G337" s="664">
        <f t="shared" si="134"/>
        <v>0</v>
      </c>
      <c r="H337" s="664">
        <f t="shared" si="134"/>
        <v>0</v>
      </c>
      <c r="I337" s="664">
        <f t="shared" si="134"/>
        <v>0</v>
      </c>
      <c r="J337" s="664">
        <f t="shared" si="134"/>
        <v>0</v>
      </c>
      <c r="K337" s="664">
        <f>K329-SUM(K330:K336)</f>
        <v>0</v>
      </c>
      <c r="L337" s="664">
        <f t="shared" si="134"/>
        <v>0</v>
      </c>
      <c r="M337" s="664">
        <f t="shared" si="134"/>
        <v>0</v>
      </c>
      <c r="N337" s="664">
        <f t="shared" si="134"/>
        <v>0</v>
      </c>
      <c r="O337" s="664">
        <f t="shared" si="134"/>
        <v>0</v>
      </c>
      <c r="P337" s="664"/>
      <c r="Q337" s="664">
        <f t="shared" si="134"/>
        <v>0</v>
      </c>
      <c r="R337" s="664">
        <f t="shared" si="134"/>
        <v>0</v>
      </c>
      <c r="S337" s="664">
        <f t="shared" si="134"/>
        <v>0</v>
      </c>
      <c r="T337" s="664">
        <f t="shared" si="134"/>
        <v>0</v>
      </c>
      <c r="U337" s="664">
        <f t="shared" si="134"/>
        <v>0</v>
      </c>
    </row>
    <row r="338" spans="1:23" s="240" customFormat="1" ht="15.75">
      <c r="A338" s="365"/>
      <c r="B338" s="616"/>
      <c r="C338" s="320"/>
      <c r="D338" s="238"/>
      <c r="E338" s="239"/>
      <c r="F338" s="651"/>
      <c r="G338" s="651"/>
      <c r="H338" s="651"/>
      <c r="I338" s="651"/>
      <c r="J338" s="651"/>
      <c r="K338" s="651"/>
      <c r="L338" s="651"/>
      <c r="M338" s="651"/>
      <c r="N338" s="651"/>
      <c r="O338" s="651"/>
      <c r="P338" s="651"/>
      <c r="Q338" s="651"/>
      <c r="R338" s="651"/>
      <c r="S338" s="651"/>
      <c r="T338" s="651"/>
      <c r="U338" s="651"/>
    </row>
    <row r="339" spans="1:23" s="401" customFormat="1" ht="15.75">
      <c r="A339" s="417" t="s">
        <v>375</v>
      </c>
      <c r="B339" s="660" t="s">
        <v>376</v>
      </c>
      <c r="C339" s="427"/>
      <c r="D339" s="398"/>
      <c r="E339" s="399"/>
      <c r="F339" s="669"/>
      <c r="G339" s="654"/>
      <c r="H339" s="654"/>
      <c r="I339" s="654"/>
      <c r="J339" s="654"/>
      <c r="K339" s="654"/>
      <c r="L339" s="654"/>
      <c r="M339" s="654"/>
      <c r="N339" s="654"/>
      <c r="O339" s="654"/>
      <c r="P339" s="654"/>
      <c r="Q339" s="654"/>
      <c r="R339" s="654"/>
      <c r="S339" s="400"/>
      <c r="T339" s="400"/>
      <c r="U339" s="328"/>
    </row>
    <row r="340" spans="1:23" s="342" customFormat="1" ht="15.75">
      <c r="A340" s="477" t="s">
        <v>377</v>
      </c>
      <c r="B340" s="660" t="s">
        <v>378</v>
      </c>
      <c r="C340" s="339"/>
      <c r="D340" s="340"/>
      <c r="E340" s="341"/>
      <c r="F340" s="666">
        <f>0.2*F$258</f>
        <v>613.36</v>
      </c>
      <c r="G340" s="666">
        <f>0.2*G$258</f>
        <v>270.60000000000002</v>
      </c>
      <c r="H340" s="668">
        <f>0.01*H$258</f>
        <v>13.530000000000001</v>
      </c>
      <c r="I340" s="666"/>
      <c r="J340" s="668">
        <f>0.01*J$258</f>
        <v>13.530000000000001</v>
      </c>
      <c r="K340" s="668">
        <f>0.01*K$258</f>
        <v>13.530000000000001</v>
      </c>
      <c r="L340" s="666"/>
      <c r="M340" s="666"/>
      <c r="N340" s="666"/>
      <c r="O340" s="666"/>
      <c r="P340" s="666"/>
      <c r="Q340" s="668">
        <f>0.1*Q$258</f>
        <v>405.9</v>
      </c>
      <c r="R340" s="668">
        <f>0.1*R$258</f>
        <v>405.9</v>
      </c>
      <c r="S340" s="249">
        <v>0</v>
      </c>
      <c r="T340" s="249">
        <v>0</v>
      </c>
      <c r="U340" s="249">
        <v>0</v>
      </c>
    </row>
    <row r="341" spans="1:23" s="59" customFormat="1" ht="15.75">
      <c r="A341" s="769" t="s">
        <v>379</v>
      </c>
      <c r="B341" s="658" t="s">
        <v>326</v>
      </c>
      <c r="C341" s="404"/>
      <c r="D341" s="641" t="s">
        <v>890</v>
      </c>
      <c r="E341" s="344"/>
      <c r="F341" s="692">
        <f>0.15*F$340</f>
        <v>92.004000000000005</v>
      </c>
      <c r="G341" s="692">
        <f>0.15*G$340</f>
        <v>40.590000000000003</v>
      </c>
      <c r="H341" s="692">
        <f>0.15*H$340</f>
        <v>2.0295000000000001</v>
      </c>
      <c r="I341" s="692"/>
      <c r="J341" s="692">
        <f>0.15*J$340</f>
        <v>2.0295000000000001</v>
      </c>
      <c r="K341" s="692">
        <f>0.15*K$340</f>
        <v>2.0295000000000001</v>
      </c>
      <c r="L341" s="692"/>
      <c r="M341" s="692"/>
      <c r="N341" s="692"/>
      <c r="O341" s="692"/>
      <c r="P341" s="692"/>
      <c r="Q341" s="692">
        <f>0.15*Q$340</f>
        <v>60.884999999999991</v>
      </c>
      <c r="R341" s="692">
        <f>0.15*R$340</f>
        <v>60.884999999999991</v>
      </c>
      <c r="S341" s="689"/>
      <c r="T341" s="689"/>
      <c r="U341" s="457"/>
      <c r="V341" s="766"/>
      <c r="W341" s="766"/>
    </row>
    <row r="342" spans="1:23" s="432" customFormat="1" ht="15.75">
      <c r="A342" s="526" t="s">
        <v>380</v>
      </c>
      <c r="B342" s="695" t="s">
        <v>135</v>
      </c>
      <c r="C342" s="429"/>
      <c r="D342" s="430" t="s">
        <v>890</v>
      </c>
      <c r="E342" s="431"/>
      <c r="F342" s="692">
        <f t="shared" ref="F342:H345" si="135">0.1*F$340</f>
        <v>61.336000000000006</v>
      </c>
      <c r="G342" s="692">
        <f t="shared" si="135"/>
        <v>27.060000000000002</v>
      </c>
      <c r="H342" s="692">
        <f t="shared" si="135"/>
        <v>1.3530000000000002</v>
      </c>
      <c r="I342" s="692"/>
      <c r="J342" s="692">
        <f t="shared" ref="J342:K345" si="136">0.1*J$340</f>
        <v>1.3530000000000002</v>
      </c>
      <c r="K342" s="692">
        <f t="shared" si="136"/>
        <v>1.3530000000000002</v>
      </c>
      <c r="L342" s="692"/>
      <c r="M342" s="692"/>
      <c r="N342" s="692"/>
      <c r="O342" s="692"/>
      <c r="P342" s="692"/>
      <c r="Q342" s="692">
        <f t="shared" ref="Q342:R345" si="137">0.1*Q$340</f>
        <v>40.590000000000003</v>
      </c>
      <c r="R342" s="692">
        <f t="shared" si="137"/>
        <v>40.590000000000003</v>
      </c>
      <c r="S342" s="689"/>
      <c r="T342" s="689"/>
      <c r="U342" s="437"/>
    </row>
    <row r="343" spans="1:23" s="432" customFormat="1" ht="15.75">
      <c r="A343" s="526" t="s">
        <v>381</v>
      </c>
      <c r="B343" s="695" t="s">
        <v>137</v>
      </c>
      <c r="C343" s="429"/>
      <c r="D343" s="430" t="s">
        <v>890</v>
      </c>
      <c r="E343" s="431"/>
      <c r="F343" s="692">
        <f t="shared" si="135"/>
        <v>61.336000000000006</v>
      </c>
      <c r="G343" s="692">
        <f t="shared" si="135"/>
        <v>27.060000000000002</v>
      </c>
      <c r="H343" s="692">
        <f t="shared" si="135"/>
        <v>1.3530000000000002</v>
      </c>
      <c r="I343" s="692"/>
      <c r="J343" s="692">
        <f t="shared" si="136"/>
        <v>1.3530000000000002</v>
      </c>
      <c r="K343" s="692">
        <f t="shared" si="136"/>
        <v>1.3530000000000002</v>
      </c>
      <c r="L343" s="692"/>
      <c r="M343" s="692"/>
      <c r="N343" s="692"/>
      <c r="O343" s="692"/>
      <c r="P343" s="692"/>
      <c r="Q343" s="692">
        <f t="shared" si="137"/>
        <v>40.590000000000003</v>
      </c>
      <c r="R343" s="692">
        <f t="shared" si="137"/>
        <v>40.590000000000003</v>
      </c>
      <c r="S343" s="689"/>
      <c r="T343" s="689"/>
      <c r="U343" s="437"/>
    </row>
    <row r="344" spans="1:23" s="369" customFormat="1" ht="15.75">
      <c r="A344" s="769" t="s">
        <v>382</v>
      </c>
      <c r="B344" s="658" t="s">
        <v>139</v>
      </c>
      <c r="C344" s="429"/>
      <c r="D344" s="430" t="s">
        <v>890</v>
      </c>
      <c r="E344" s="431"/>
      <c r="F344" s="692">
        <f t="shared" si="135"/>
        <v>61.336000000000006</v>
      </c>
      <c r="G344" s="692">
        <f t="shared" si="135"/>
        <v>27.060000000000002</v>
      </c>
      <c r="H344" s="692">
        <f t="shared" si="135"/>
        <v>1.3530000000000002</v>
      </c>
      <c r="I344" s="692"/>
      <c r="J344" s="692">
        <f t="shared" si="136"/>
        <v>1.3530000000000002</v>
      </c>
      <c r="K344" s="692">
        <f t="shared" si="136"/>
        <v>1.3530000000000002</v>
      </c>
      <c r="L344" s="692"/>
      <c r="M344" s="692"/>
      <c r="N344" s="692"/>
      <c r="O344" s="692"/>
      <c r="P344" s="692"/>
      <c r="Q344" s="692">
        <f t="shared" si="137"/>
        <v>40.590000000000003</v>
      </c>
      <c r="R344" s="692">
        <f t="shared" si="137"/>
        <v>40.590000000000003</v>
      </c>
      <c r="S344" s="689"/>
      <c r="T344" s="689"/>
      <c r="U344" s="437"/>
      <c r="V344" s="432"/>
      <c r="W344" s="432"/>
    </row>
    <row r="345" spans="1:23" s="432" customFormat="1" ht="15.75">
      <c r="A345" s="526" t="s">
        <v>383</v>
      </c>
      <c r="B345" s="695" t="s">
        <v>105</v>
      </c>
      <c r="C345" s="429"/>
      <c r="D345" s="430" t="s">
        <v>890</v>
      </c>
      <c r="E345" s="431"/>
      <c r="F345" s="692">
        <f t="shared" si="135"/>
        <v>61.336000000000006</v>
      </c>
      <c r="G345" s="692">
        <f t="shared" si="135"/>
        <v>27.060000000000002</v>
      </c>
      <c r="H345" s="692">
        <f t="shared" si="135"/>
        <v>1.3530000000000002</v>
      </c>
      <c r="I345" s="692"/>
      <c r="J345" s="692">
        <f t="shared" si="136"/>
        <v>1.3530000000000002</v>
      </c>
      <c r="K345" s="692">
        <f t="shared" si="136"/>
        <v>1.3530000000000002</v>
      </c>
      <c r="L345" s="692"/>
      <c r="M345" s="692"/>
      <c r="N345" s="692"/>
      <c r="O345" s="692"/>
      <c r="P345" s="692"/>
      <c r="Q345" s="692">
        <f t="shared" si="137"/>
        <v>40.590000000000003</v>
      </c>
      <c r="R345" s="692">
        <f t="shared" si="137"/>
        <v>40.590000000000003</v>
      </c>
      <c r="S345" s="689"/>
      <c r="T345" s="689"/>
      <c r="U345" s="437"/>
    </row>
    <row r="346" spans="1:23" s="59" customFormat="1" ht="15.75">
      <c r="A346" s="769" t="s">
        <v>384</v>
      </c>
      <c r="B346" s="658" t="s">
        <v>142</v>
      </c>
      <c r="C346" s="404"/>
      <c r="D346" s="641" t="s">
        <v>890</v>
      </c>
      <c r="E346" s="405"/>
      <c r="F346" s="692">
        <f>0.15*F$340</f>
        <v>92.004000000000005</v>
      </c>
      <c r="G346" s="692">
        <f>0.15*G$340</f>
        <v>40.590000000000003</v>
      </c>
      <c r="H346" s="692">
        <f>0.15*H$340</f>
        <v>2.0295000000000001</v>
      </c>
      <c r="I346" s="692"/>
      <c r="J346" s="692">
        <f>0.15*J$340</f>
        <v>2.0295000000000001</v>
      </c>
      <c r="K346" s="692">
        <f>0.15*K$340</f>
        <v>2.0295000000000001</v>
      </c>
      <c r="L346" s="692"/>
      <c r="M346" s="692"/>
      <c r="N346" s="692"/>
      <c r="O346" s="692"/>
      <c r="P346" s="692"/>
      <c r="Q346" s="692">
        <f>0.15*Q$340</f>
        <v>60.884999999999991</v>
      </c>
      <c r="R346" s="692">
        <f>0.15*R$340</f>
        <v>60.884999999999991</v>
      </c>
      <c r="S346" s="689"/>
      <c r="T346" s="689"/>
      <c r="U346" s="457"/>
      <c r="V346" s="766"/>
      <c r="W346" s="766"/>
    </row>
    <row r="347" spans="1:23" s="318" customFormat="1" ht="15.75">
      <c r="A347" s="769" t="s">
        <v>385</v>
      </c>
      <c r="B347" s="658" t="s">
        <v>386</v>
      </c>
      <c r="C347" s="404"/>
      <c r="D347" s="641" t="s">
        <v>890</v>
      </c>
      <c r="E347" s="405"/>
      <c r="F347" s="692">
        <f t="shared" ref="F347:H349" si="138">0.1*F$340</f>
        <v>61.336000000000006</v>
      </c>
      <c r="G347" s="692">
        <f t="shared" si="138"/>
        <v>27.060000000000002</v>
      </c>
      <c r="H347" s="692">
        <f t="shared" si="138"/>
        <v>1.3530000000000002</v>
      </c>
      <c r="I347" s="692"/>
      <c r="J347" s="692">
        <f t="shared" ref="J347:K349" si="139">0.1*J$340</f>
        <v>1.3530000000000002</v>
      </c>
      <c r="K347" s="692">
        <f t="shared" si="139"/>
        <v>1.3530000000000002</v>
      </c>
      <c r="L347" s="692"/>
      <c r="M347" s="692"/>
      <c r="N347" s="692"/>
      <c r="O347" s="692"/>
      <c r="P347" s="692"/>
      <c r="Q347" s="692">
        <f t="shared" ref="Q347:R349" si="140">0.1*Q$340</f>
        <v>40.590000000000003</v>
      </c>
      <c r="R347" s="692">
        <f t="shared" si="140"/>
        <v>40.590000000000003</v>
      </c>
      <c r="S347" s="689"/>
      <c r="T347" s="689"/>
      <c r="U347" s="457"/>
      <c r="V347" s="766"/>
      <c r="W347" s="766"/>
    </row>
    <row r="348" spans="1:23" s="318" customFormat="1" ht="15.75">
      <c r="A348" s="769" t="s">
        <v>387</v>
      </c>
      <c r="B348" s="658" t="s">
        <v>388</v>
      </c>
      <c r="C348" s="404"/>
      <c r="D348" s="641" t="s">
        <v>890</v>
      </c>
      <c r="E348" s="405"/>
      <c r="F348" s="692">
        <f t="shared" si="138"/>
        <v>61.336000000000006</v>
      </c>
      <c r="G348" s="692">
        <f t="shared" si="138"/>
        <v>27.060000000000002</v>
      </c>
      <c r="H348" s="692">
        <f t="shared" si="138"/>
        <v>1.3530000000000002</v>
      </c>
      <c r="I348" s="692"/>
      <c r="J348" s="692">
        <f t="shared" si="139"/>
        <v>1.3530000000000002</v>
      </c>
      <c r="K348" s="692">
        <f t="shared" si="139"/>
        <v>1.3530000000000002</v>
      </c>
      <c r="L348" s="692"/>
      <c r="M348" s="692"/>
      <c r="N348" s="692"/>
      <c r="O348" s="692"/>
      <c r="P348" s="692"/>
      <c r="Q348" s="692">
        <f t="shared" si="140"/>
        <v>40.590000000000003</v>
      </c>
      <c r="R348" s="692">
        <f t="shared" si="140"/>
        <v>40.590000000000003</v>
      </c>
      <c r="S348" s="689"/>
      <c r="T348" s="689"/>
      <c r="U348" s="457"/>
      <c r="V348" s="766"/>
      <c r="W348" s="766"/>
    </row>
    <row r="349" spans="1:23" s="59" customFormat="1" ht="15.75">
      <c r="A349" s="769" t="s">
        <v>389</v>
      </c>
      <c r="B349" s="656" t="s">
        <v>150</v>
      </c>
      <c r="C349" s="404"/>
      <c r="D349" s="641" t="s">
        <v>890</v>
      </c>
      <c r="E349" s="405"/>
      <c r="F349" s="692">
        <f t="shared" si="138"/>
        <v>61.336000000000006</v>
      </c>
      <c r="G349" s="692">
        <f t="shared" si="138"/>
        <v>27.060000000000002</v>
      </c>
      <c r="H349" s="692">
        <f t="shared" si="138"/>
        <v>1.3530000000000002</v>
      </c>
      <c r="I349" s="692"/>
      <c r="J349" s="692">
        <f t="shared" si="139"/>
        <v>1.3530000000000002</v>
      </c>
      <c r="K349" s="692">
        <f t="shared" si="139"/>
        <v>1.3530000000000002</v>
      </c>
      <c r="L349" s="692"/>
      <c r="M349" s="692"/>
      <c r="N349" s="692"/>
      <c r="O349" s="692"/>
      <c r="P349" s="692"/>
      <c r="Q349" s="692">
        <f t="shared" si="140"/>
        <v>40.590000000000003</v>
      </c>
      <c r="R349" s="692">
        <f t="shared" si="140"/>
        <v>40.590000000000003</v>
      </c>
      <c r="S349" s="689"/>
      <c r="T349" s="689"/>
      <c r="U349" s="457"/>
      <c r="V349" s="766"/>
      <c r="W349" s="766"/>
    </row>
    <row r="350" spans="1:23" s="284" customFormat="1" ht="15.75">
      <c r="A350" s="769"/>
      <c r="B350" s="656"/>
      <c r="C350" s="404"/>
      <c r="D350" s="641"/>
      <c r="E350" s="405"/>
      <c r="F350" s="664">
        <f t="shared" ref="F350:U350" si="141">F340-SUM(F341:F349)</f>
        <v>0</v>
      </c>
      <c r="G350" s="664">
        <f>G340-SUM(G341:G349)</f>
        <v>0</v>
      </c>
      <c r="H350" s="664">
        <f t="shared" si="141"/>
        <v>0</v>
      </c>
      <c r="I350" s="664">
        <f t="shared" si="141"/>
        <v>0</v>
      </c>
      <c r="J350" s="664">
        <f t="shared" si="141"/>
        <v>0</v>
      </c>
      <c r="K350" s="664">
        <f>K340-SUM(K341:K349)</f>
        <v>0</v>
      </c>
      <c r="L350" s="664">
        <f t="shared" si="141"/>
        <v>0</v>
      </c>
      <c r="M350" s="664">
        <f t="shared" si="141"/>
        <v>0</v>
      </c>
      <c r="N350" s="664">
        <f t="shared" si="141"/>
        <v>0</v>
      </c>
      <c r="O350" s="664">
        <f t="shared" si="141"/>
        <v>0</v>
      </c>
      <c r="P350" s="664"/>
      <c r="Q350" s="664">
        <f t="shared" si="141"/>
        <v>0</v>
      </c>
      <c r="R350" s="664">
        <f t="shared" si="141"/>
        <v>0</v>
      </c>
      <c r="S350" s="664">
        <f t="shared" si="141"/>
        <v>0</v>
      </c>
      <c r="T350" s="664">
        <f t="shared" si="141"/>
        <v>0</v>
      </c>
      <c r="U350" s="664">
        <f t="shared" si="141"/>
        <v>0</v>
      </c>
      <c r="V350" s="766"/>
      <c r="W350" s="766"/>
    </row>
    <row r="351" spans="1:23" s="59" customFormat="1" ht="15.75">
      <c r="A351" s="769"/>
      <c r="B351" s="656"/>
      <c r="C351" s="404"/>
      <c r="D351" s="641"/>
      <c r="E351" s="405"/>
      <c r="F351" s="690"/>
      <c r="G351" s="690"/>
      <c r="H351" s="690"/>
      <c r="I351" s="690"/>
      <c r="J351" s="690"/>
      <c r="K351" s="690"/>
      <c r="L351" s="690"/>
      <c r="M351" s="690"/>
      <c r="N351" s="690"/>
      <c r="O351" s="690"/>
      <c r="P351" s="690"/>
      <c r="Q351" s="690"/>
      <c r="R351" s="690"/>
      <c r="S351" s="690"/>
      <c r="T351" s="690"/>
      <c r="U351" s="690"/>
      <c r="V351" s="766"/>
      <c r="W351" s="766"/>
    </row>
    <row r="352" spans="1:23" s="342" customFormat="1" ht="31.5">
      <c r="A352" s="477" t="s">
        <v>390</v>
      </c>
      <c r="B352" s="660" t="s">
        <v>391</v>
      </c>
      <c r="C352" s="339"/>
      <c r="D352" s="340"/>
      <c r="E352" s="341"/>
      <c r="F352" s="666">
        <f>0.15*F$258</f>
        <v>460.01999999999992</v>
      </c>
      <c r="G352" s="666">
        <f>0.15*G$258</f>
        <v>202.95</v>
      </c>
      <c r="H352" s="668">
        <f>0.01*H$258</f>
        <v>13.530000000000001</v>
      </c>
      <c r="I352" s="666"/>
      <c r="J352" s="666"/>
      <c r="K352" s="668">
        <f>0.01*K$258</f>
        <v>13.530000000000001</v>
      </c>
      <c r="L352" s="666"/>
      <c r="M352" s="666"/>
      <c r="N352" s="666"/>
      <c r="O352" s="666"/>
      <c r="P352" s="666"/>
      <c r="Q352" s="668">
        <f>0.05*Q$258</f>
        <v>202.95</v>
      </c>
      <c r="R352" s="668">
        <f>0.06*R$258</f>
        <v>243.53999999999996</v>
      </c>
      <c r="S352" s="251">
        <v>0</v>
      </c>
      <c r="T352" s="251">
        <v>0</v>
      </c>
      <c r="U352" s="251">
        <v>0</v>
      </c>
    </row>
    <row r="353" spans="1:21" s="318" customFormat="1" ht="15.75">
      <c r="A353" s="769" t="s">
        <v>392</v>
      </c>
      <c r="B353" s="658" t="s">
        <v>326</v>
      </c>
      <c r="C353" s="404"/>
      <c r="D353" s="641" t="s">
        <v>890</v>
      </c>
      <c r="E353" s="344"/>
      <c r="F353" s="692">
        <f t="shared" ref="F353:H362" si="142">0.1*F$352</f>
        <v>46.001999999999995</v>
      </c>
      <c r="G353" s="692">
        <f t="shared" si="142"/>
        <v>20.295000000000002</v>
      </c>
      <c r="H353" s="692">
        <f t="shared" si="142"/>
        <v>1.3530000000000002</v>
      </c>
      <c r="I353" s="692"/>
      <c r="J353" s="692"/>
      <c r="K353" s="692">
        <f t="shared" ref="K353:K362" si="143">0.1*K$352</f>
        <v>1.3530000000000002</v>
      </c>
      <c r="L353" s="692"/>
      <c r="M353" s="692"/>
      <c r="N353" s="692"/>
      <c r="O353" s="692"/>
      <c r="P353" s="692"/>
      <c r="Q353" s="692">
        <f t="shared" ref="Q353:R362" si="144">0.1*Q$352</f>
        <v>20.295000000000002</v>
      </c>
      <c r="R353" s="692">
        <f t="shared" si="144"/>
        <v>24.353999999999999</v>
      </c>
      <c r="S353" s="689"/>
      <c r="T353" s="689"/>
      <c r="U353" s="457"/>
    </row>
    <row r="354" spans="1:21" s="432" customFormat="1" ht="15.75">
      <c r="A354" s="526" t="s">
        <v>393</v>
      </c>
      <c r="B354" s="695" t="s">
        <v>135</v>
      </c>
      <c r="C354" s="429"/>
      <c r="D354" s="430" t="s">
        <v>890</v>
      </c>
      <c r="E354" s="431"/>
      <c r="F354" s="692">
        <f t="shared" si="142"/>
        <v>46.001999999999995</v>
      </c>
      <c r="G354" s="692">
        <f t="shared" si="142"/>
        <v>20.295000000000002</v>
      </c>
      <c r="H354" s="692">
        <f t="shared" si="142"/>
        <v>1.3530000000000002</v>
      </c>
      <c r="I354" s="692"/>
      <c r="J354" s="692"/>
      <c r="K354" s="692">
        <f t="shared" si="143"/>
        <v>1.3530000000000002</v>
      </c>
      <c r="L354" s="692"/>
      <c r="M354" s="692"/>
      <c r="N354" s="692"/>
      <c r="O354" s="692"/>
      <c r="P354" s="692"/>
      <c r="Q354" s="692">
        <f t="shared" si="144"/>
        <v>20.295000000000002</v>
      </c>
      <c r="R354" s="692">
        <f t="shared" si="144"/>
        <v>24.353999999999999</v>
      </c>
      <c r="S354" s="689"/>
      <c r="T354" s="689"/>
      <c r="U354" s="437"/>
    </row>
    <row r="355" spans="1:21" s="432" customFormat="1" ht="15.75">
      <c r="A355" s="526" t="s">
        <v>394</v>
      </c>
      <c r="B355" s="695" t="s">
        <v>137</v>
      </c>
      <c r="C355" s="429"/>
      <c r="D355" s="430" t="s">
        <v>890</v>
      </c>
      <c r="E355" s="431"/>
      <c r="F355" s="692">
        <f t="shared" si="142"/>
        <v>46.001999999999995</v>
      </c>
      <c r="G355" s="692">
        <f t="shared" si="142"/>
        <v>20.295000000000002</v>
      </c>
      <c r="H355" s="692">
        <f t="shared" si="142"/>
        <v>1.3530000000000002</v>
      </c>
      <c r="I355" s="692"/>
      <c r="J355" s="692"/>
      <c r="K355" s="692">
        <f t="shared" si="143"/>
        <v>1.3530000000000002</v>
      </c>
      <c r="L355" s="692"/>
      <c r="M355" s="692"/>
      <c r="N355" s="692"/>
      <c r="O355" s="692"/>
      <c r="P355" s="692"/>
      <c r="Q355" s="692">
        <f t="shared" si="144"/>
        <v>20.295000000000002</v>
      </c>
      <c r="R355" s="692">
        <f t="shared" si="144"/>
        <v>24.353999999999999</v>
      </c>
      <c r="S355" s="689"/>
      <c r="T355" s="689"/>
      <c r="U355" s="437"/>
    </row>
    <row r="356" spans="1:21" s="432" customFormat="1" ht="15.75">
      <c r="A356" s="657" t="s">
        <v>395</v>
      </c>
      <c r="B356" s="658" t="s">
        <v>139</v>
      </c>
      <c r="C356" s="429"/>
      <c r="D356" s="430" t="s">
        <v>890</v>
      </c>
      <c r="E356" s="431"/>
      <c r="F356" s="692">
        <f t="shared" si="142"/>
        <v>46.001999999999995</v>
      </c>
      <c r="G356" s="692">
        <f t="shared" si="142"/>
        <v>20.295000000000002</v>
      </c>
      <c r="H356" s="692">
        <f t="shared" si="142"/>
        <v>1.3530000000000002</v>
      </c>
      <c r="I356" s="692"/>
      <c r="J356" s="692"/>
      <c r="K356" s="692">
        <f t="shared" si="143"/>
        <v>1.3530000000000002</v>
      </c>
      <c r="L356" s="692"/>
      <c r="M356" s="692"/>
      <c r="N356" s="692"/>
      <c r="O356" s="692"/>
      <c r="P356" s="692"/>
      <c r="Q356" s="692">
        <f t="shared" si="144"/>
        <v>20.295000000000002</v>
      </c>
      <c r="R356" s="692">
        <f t="shared" si="144"/>
        <v>24.353999999999999</v>
      </c>
      <c r="S356" s="689"/>
      <c r="T356" s="689"/>
      <c r="U356" s="437"/>
    </row>
    <row r="357" spans="1:21" s="432" customFormat="1" ht="15.75">
      <c r="A357" s="526" t="s">
        <v>396</v>
      </c>
      <c r="B357" s="695" t="s">
        <v>105</v>
      </c>
      <c r="C357" s="429"/>
      <c r="D357" s="430" t="s">
        <v>890</v>
      </c>
      <c r="E357" s="431"/>
      <c r="F357" s="692">
        <f t="shared" si="142"/>
        <v>46.001999999999995</v>
      </c>
      <c r="G357" s="692">
        <f t="shared" si="142"/>
        <v>20.295000000000002</v>
      </c>
      <c r="H357" s="692">
        <f t="shared" si="142"/>
        <v>1.3530000000000002</v>
      </c>
      <c r="I357" s="692"/>
      <c r="J357" s="692"/>
      <c r="K357" s="692">
        <f t="shared" si="143"/>
        <v>1.3530000000000002</v>
      </c>
      <c r="L357" s="692"/>
      <c r="M357" s="692"/>
      <c r="N357" s="692"/>
      <c r="O357" s="692"/>
      <c r="P357" s="692"/>
      <c r="Q357" s="692">
        <f t="shared" si="144"/>
        <v>20.295000000000002</v>
      </c>
      <c r="R357" s="692">
        <f t="shared" si="144"/>
        <v>24.353999999999999</v>
      </c>
      <c r="S357" s="689"/>
      <c r="T357" s="689"/>
      <c r="U357" s="437"/>
    </row>
    <row r="358" spans="1:21" s="318" customFormat="1" ht="15.75">
      <c r="A358" s="769" t="s">
        <v>397</v>
      </c>
      <c r="B358" s="658" t="s">
        <v>142</v>
      </c>
      <c r="C358" s="404"/>
      <c r="D358" s="641" t="s">
        <v>890</v>
      </c>
      <c r="E358" s="405"/>
      <c r="F358" s="692">
        <f t="shared" si="142"/>
        <v>46.001999999999995</v>
      </c>
      <c r="G358" s="692">
        <f t="shared" si="142"/>
        <v>20.295000000000002</v>
      </c>
      <c r="H358" s="692">
        <f t="shared" si="142"/>
        <v>1.3530000000000002</v>
      </c>
      <c r="I358" s="692"/>
      <c r="J358" s="692"/>
      <c r="K358" s="692">
        <f t="shared" si="143"/>
        <v>1.3530000000000002</v>
      </c>
      <c r="L358" s="692"/>
      <c r="M358" s="692"/>
      <c r="N358" s="692"/>
      <c r="O358" s="692"/>
      <c r="P358" s="692"/>
      <c r="Q358" s="692">
        <f t="shared" si="144"/>
        <v>20.295000000000002</v>
      </c>
      <c r="R358" s="692">
        <f t="shared" si="144"/>
        <v>24.353999999999999</v>
      </c>
      <c r="S358" s="689"/>
      <c r="T358" s="689"/>
      <c r="U358" s="457"/>
    </row>
    <row r="359" spans="1:21" s="318" customFormat="1" ht="15.75">
      <c r="A359" s="769" t="s">
        <v>398</v>
      </c>
      <c r="B359" s="658" t="s">
        <v>399</v>
      </c>
      <c r="C359" s="404"/>
      <c r="D359" s="641" t="s">
        <v>890</v>
      </c>
      <c r="E359" s="405"/>
      <c r="F359" s="692">
        <f t="shared" si="142"/>
        <v>46.001999999999995</v>
      </c>
      <c r="G359" s="692">
        <f t="shared" si="142"/>
        <v>20.295000000000002</v>
      </c>
      <c r="H359" s="692">
        <f t="shared" si="142"/>
        <v>1.3530000000000002</v>
      </c>
      <c r="I359" s="692"/>
      <c r="J359" s="692"/>
      <c r="K359" s="692">
        <f t="shared" si="143"/>
        <v>1.3530000000000002</v>
      </c>
      <c r="L359" s="692"/>
      <c r="M359" s="692"/>
      <c r="N359" s="692"/>
      <c r="O359" s="692"/>
      <c r="P359" s="692"/>
      <c r="Q359" s="692">
        <f t="shared" si="144"/>
        <v>20.295000000000002</v>
      </c>
      <c r="R359" s="692">
        <f t="shared" si="144"/>
        <v>24.353999999999999</v>
      </c>
      <c r="S359" s="689"/>
      <c r="T359" s="689"/>
      <c r="U359" s="457"/>
    </row>
    <row r="360" spans="1:21" s="318" customFormat="1" ht="15.75">
      <c r="A360" s="769" t="s">
        <v>400</v>
      </c>
      <c r="B360" s="658" t="s">
        <v>388</v>
      </c>
      <c r="C360" s="404"/>
      <c r="D360" s="641" t="s">
        <v>890</v>
      </c>
      <c r="E360" s="405"/>
      <c r="F360" s="692">
        <f t="shared" si="142"/>
        <v>46.001999999999995</v>
      </c>
      <c r="G360" s="692">
        <f t="shared" si="142"/>
        <v>20.295000000000002</v>
      </c>
      <c r="H360" s="692">
        <f t="shared" si="142"/>
        <v>1.3530000000000002</v>
      </c>
      <c r="I360" s="692"/>
      <c r="J360" s="692"/>
      <c r="K360" s="692">
        <f t="shared" si="143"/>
        <v>1.3530000000000002</v>
      </c>
      <c r="L360" s="692"/>
      <c r="M360" s="692"/>
      <c r="N360" s="692"/>
      <c r="O360" s="692"/>
      <c r="P360" s="692"/>
      <c r="Q360" s="692">
        <f t="shared" si="144"/>
        <v>20.295000000000002</v>
      </c>
      <c r="R360" s="692">
        <f t="shared" si="144"/>
        <v>24.353999999999999</v>
      </c>
      <c r="S360" s="689"/>
      <c r="T360" s="689"/>
      <c r="U360" s="457"/>
    </row>
    <row r="361" spans="1:21" s="318" customFormat="1" ht="15.75">
      <c r="A361" s="769" t="s">
        <v>401</v>
      </c>
      <c r="B361" s="656" t="s">
        <v>150</v>
      </c>
      <c r="C361" s="404"/>
      <c r="D361" s="641" t="s">
        <v>890</v>
      </c>
      <c r="E361" s="405"/>
      <c r="F361" s="692">
        <f t="shared" si="142"/>
        <v>46.001999999999995</v>
      </c>
      <c r="G361" s="692">
        <f t="shared" si="142"/>
        <v>20.295000000000002</v>
      </c>
      <c r="H361" s="692">
        <f t="shared" si="142"/>
        <v>1.3530000000000002</v>
      </c>
      <c r="I361" s="692"/>
      <c r="J361" s="692"/>
      <c r="K361" s="692">
        <f t="shared" si="143"/>
        <v>1.3530000000000002</v>
      </c>
      <c r="L361" s="692"/>
      <c r="M361" s="692"/>
      <c r="N361" s="692"/>
      <c r="O361" s="692"/>
      <c r="P361" s="692"/>
      <c r="Q361" s="692">
        <f t="shared" si="144"/>
        <v>20.295000000000002</v>
      </c>
      <c r="R361" s="692">
        <f t="shared" si="144"/>
        <v>24.353999999999999</v>
      </c>
      <c r="S361" s="689"/>
      <c r="T361" s="689"/>
      <c r="U361" s="457"/>
    </row>
    <row r="362" spans="1:21" s="318" customFormat="1" ht="15.75">
      <c r="A362" s="769" t="s">
        <v>402</v>
      </c>
      <c r="B362" s="656" t="s">
        <v>152</v>
      </c>
      <c r="C362" s="404"/>
      <c r="D362" s="641" t="s">
        <v>890</v>
      </c>
      <c r="E362" s="405"/>
      <c r="F362" s="692">
        <f t="shared" si="142"/>
        <v>46.001999999999995</v>
      </c>
      <c r="G362" s="692">
        <f t="shared" si="142"/>
        <v>20.295000000000002</v>
      </c>
      <c r="H362" s="692">
        <f t="shared" si="142"/>
        <v>1.3530000000000002</v>
      </c>
      <c r="I362" s="692"/>
      <c r="J362" s="692"/>
      <c r="K362" s="692">
        <f t="shared" si="143"/>
        <v>1.3530000000000002</v>
      </c>
      <c r="L362" s="692"/>
      <c r="M362" s="692"/>
      <c r="N362" s="692"/>
      <c r="O362" s="692"/>
      <c r="P362" s="692"/>
      <c r="Q362" s="692">
        <f t="shared" si="144"/>
        <v>20.295000000000002</v>
      </c>
      <c r="R362" s="692">
        <f t="shared" si="144"/>
        <v>24.353999999999999</v>
      </c>
      <c r="S362" s="689"/>
      <c r="T362" s="689"/>
      <c r="U362" s="457"/>
    </row>
    <row r="363" spans="1:21" s="318" customFormat="1" ht="15.75">
      <c r="A363" s="769"/>
      <c r="B363" s="656"/>
      <c r="C363" s="404"/>
      <c r="D363" s="641"/>
      <c r="E363" s="405"/>
      <c r="F363" s="664">
        <f t="shared" ref="F363:U363" si="145">F352-SUM(F353:F362)</f>
        <v>0</v>
      </c>
      <c r="G363" s="664">
        <f t="shared" si="145"/>
        <v>0</v>
      </c>
      <c r="H363" s="664">
        <f t="shared" si="145"/>
        <v>0</v>
      </c>
      <c r="I363" s="664"/>
      <c r="J363" s="664"/>
      <c r="K363" s="664">
        <f>K352-SUM(K353:K362)</f>
        <v>0</v>
      </c>
      <c r="L363" s="664"/>
      <c r="M363" s="664"/>
      <c r="N363" s="664"/>
      <c r="O363" s="664"/>
      <c r="P363" s="664"/>
      <c r="Q363" s="664">
        <f t="shared" si="145"/>
        <v>0</v>
      </c>
      <c r="R363" s="664">
        <f t="shared" si="145"/>
        <v>0</v>
      </c>
      <c r="S363" s="664">
        <f t="shared" si="145"/>
        <v>0</v>
      </c>
      <c r="T363" s="664">
        <f t="shared" si="145"/>
        <v>0</v>
      </c>
      <c r="U363" s="664">
        <f t="shared" si="145"/>
        <v>0</v>
      </c>
    </row>
    <row r="364" spans="1:21" s="318" customFormat="1" ht="15.75">
      <c r="A364" s="769"/>
      <c r="B364" s="656"/>
      <c r="C364" s="404"/>
      <c r="D364" s="641"/>
      <c r="E364" s="405"/>
      <c r="F364" s="690"/>
      <c r="G364" s="690"/>
      <c r="H364" s="690"/>
      <c r="I364" s="690"/>
      <c r="J364" s="690"/>
      <c r="K364" s="690"/>
      <c r="L364" s="690"/>
      <c r="M364" s="690"/>
      <c r="N364" s="690"/>
      <c r="O364" s="690"/>
      <c r="P364" s="690"/>
      <c r="Q364" s="690"/>
      <c r="R364" s="690"/>
      <c r="S364" s="690"/>
      <c r="T364" s="690"/>
      <c r="U364" s="690"/>
    </row>
    <row r="365" spans="1:21" s="401" customFormat="1" ht="15.75">
      <c r="A365" s="417" t="s">
        <v>403</v>
      </c>
      <c r="B365" s="693" t="s">
        <v>159</v>
      </c>
      <c r="C365" s="427"/>
      <c r="D365" s="398"/>
      <c r="E365" s="399"/>
      <c r="F365" s="669">
        <f>0.02*F258</f>
        <v>61.335999999999999</v>
      </c>
      <c r="G365" s="669">
        <f>0.03*G258</f>
        <v>40.589999999999996</v>
      </c>
      <c r="H365" s="820">
        <f>0.01*H258</f>
        <v>13.530000000000001</v>
      </c>
      <c r="I365" s="669"/>
      <c r="J365" s="669"/>
      <c r="K365" s="820">
        <f>0.01*K258</f>
        <v>13.530000000000001</v>
      </c>
      <c r="L365" s="669"/>
      <c r="M365" s="669"/>
      <c r="N365" s="669"/>
      <c r="O365" s="669"/>
      <c r="P365" s="669"/>
      <c r="Q365" s="820">
        <f>0.02*Q258</f>
        <v>81.179999999999993</v>
      </c>
      <c r="R365" s="820">
        <f>0.02*R258</f>
        <v>81.179999999999993</v>
      </c>
      <c r="S365" s="669">
        <v>0</v>
      </c>
      <c r="T365" s="669">
        <v>0</v>
      </c>
      <c r="U365" s="669">
        <v>0</v>
      </c>
    </row>
    <row r="366" spans="1:21" s="59" customFormat="1" ht="15.75">
      <c r="A366" s="769" t="s">
        <v>404</v>
      </c>
      <c r="B366" s="658" t="s">
        <v>326</v>
      </c>
      <c r="C366" s="404"/>
      <c r="D366" s="641" t="s">
        <v>890</v>
      </c>
      <c r="E366" s="405"/>
      <c r="F366" s="692">
        <f>0.25*F$365</f>
        <v>15.334</v>
      </c>
      <c r="G366" s="692">
        <f>0.25*G$365</f>
        <v>10.147499999999999</v>
      </c>
      <c r="H366" s="692">
        <f>0.25*H$365</f>
        <v>3.3825000000000003</v>
      </c>
      <c r="I366" s="692"/>
      <c r="J366" s="692"/>
      <c r="K366" s="692">
        <f>0.25*K$365</f>
        <v>3.3825000000000003</v>
      </c>
      <c r="L366" s="692"/>
      <c r="M366" s="692"/>
      <c r="N366" s="692"/>
      <c r="O366" s="692"/>
      <c r="P366" s="692"/>
      <c r="Q366" s="692">
        <f>0.25*Q$365</f>
        <v>20.294999999999998</v>
      </c>
      <c r="R366" s="692">
        <f>0.25*R$365</f>
        <v>20.294999999999998</v>
      </c>
      <c r="S366" s="689"/>
      <c r="T366" s="689"/>
      <c r="U366" s="454"/>
    </row>
    <row r="367" spans="1:21" s="432" customFormat="1" ht="15.75">
      <c r="A367" s="526" t="s">
        <v>405</v>
      </c>
      <c r="B367" s="695" t="s">
        <v>135</v>
      </c>
      <c r="C367" s="429"/>
      <c r="D367" s="430" t="s">
        <v>890</v>
      </c>
      <c r="E367" s="431"/>
      <c r="F367" s="692">
        <f t="shared" ref="F367:H369" si="146">0.1*F$365</f>
        <v>6.1336000000000004</v>
      </c>
      <c r="G367" s="692">
        <f t="shared" si="146"/>
        <v>4.0590000000000002</v>
      </c>
      <c r="H367" s="692">
        <f t="shared" si="146"/>
        <v>1.3530000000000002</v>
      </c>
      <c r="I367" s="692"/>
      <c r="J367" s="692"/>
      <c r="K367" s="692">
        <f>0.1*K$365</f>
        <v>1.3530000000000002</v>
      </c>
      <c r="L367" s="692"/>
      <c r="M367" s="692"/>
      <c r="N367" s="692"/>
      <c r="O367" s="692"/>
      <c r="P367" s="692"/>
      <c r="Q367" s="692">
        <f t="shared" ref="Q367:R369" si="147">0.1*Q$365</f>
        <v>8.1180000000000003</v>
      </c>
      <c r="R367" s="692">
        <f t="shared" si="147"/>
        <v>8.1180000000000003</v>
      </c>
      <c r="S367" s="689"/>
      <c r="T367" s="689"/>
      <c r="U367" s="441"/>
    </row>
    <row r="368" spans="1:21" s="432" customFormat="1" ht="15.75">
      <c r="A368" s="526" t="s">
        <v>406</v>
      </c>
      <c r="B368" s="695" t="s">
        <v>137</v>
      </c>
      <c r="C368" s="429"/>
      <c r="D368" s="430" t="s">
        <v>890</v>
      </c>
      <c r="E368" s="431"/>
      <c r="F368" s="692">
        <f t="shared" si="146"/>
        <v>6.1336000000000004</v>
      </c>
      <c r="G368" s="692">
        <f t="shared" si="146"/>
        <v>4.0590000000000002</v>
      </c>
      <c r="H368" s="692">
        <f t="shared" si="146"/>
        <v>1.3530000000000002</v>
      </c>
      <c r="I368" s="692"/>
      <c r="J368" s="692"/>
      <c r="K368" s="692">
        <f>0.1*K$365</f>
        <v>1.3530000000000002</v>
      </c>
      <c r="L368" s="692"/>
      <c r="M368" s="692"/>
      <c r="N368" s="692"/>
      <c r="O368" s="692"/>
      <c r="P368" s="692"/>
      <c r="Q368" s="692">
        <f t="shared" si="147"/>
        <v>8.1180000000000003</v>
      </c>
      <c r="R368" s="692">
        <f t="shared" si="147"/>
        <v>8.1180000000000003</v>
      </c>
      <c r="S368" s="689"/>
      <c r="T368" s="689"/>
      <c r="U368" s="441"/>
    </row>
    <row r="369" spans="1:21" s="432" customFormat="1" ht="15.75">
      <c r="A369" s="526" t="s">
        <v>407</v>
      </c>
      <c r="B369" s="695" t="s">
        <v>105</v>
      </c>
      <c r="C369" s="429"/>
      <c r="D369" s="430" t="s">
        <v>890</v>
      </c>
      <c r="E369" s="431"/>
      <c r="F369" s="692">
        <f t="shared" si="146"/>
        <v>6.1336000000000004</v>
      </c>
      <c r="G369" s="692">
        <f t="shared" si="146"/>
        <v>4.0590000000000002</v>
      </c>
      <c r="H369" s="692">
        <f t="shared" si="146"/>
        <v>1.3530000000000002</v>
      </c>
      <c r="I369" s="692"/>
      <c r="J369" s="692"/>
      <c r="K369" s="692">
        <f>0.1*K$365</f>
        <v>1.3530000000000002</v>
      </c>
      <c r="L369" s="692"/>
      <c r="M369" s="692"/>
      <c r="N369" s="692"/>
      <c r="O369" s="692"/>
      <c r="P369" s="692"/>
      <c r="Q369" s="692">
        <f t="shared" si="147"/>
        <v>8.1180000000000003</v>
      </c>
      <c r="R369" s="692">
        <f t="shared" si="147"/>
        <v>8.1180000000000003</v>
      </c>
      <c r="S369" s="689"/>
      <c r="T369" s="689"/>
      <c r="U369" s="441"/>
    </row>
    <row r="370" spans="1:21" s="59" customFormat="1" ht="15.75">
      <c r="A370" s="769" t="s">
        <v>408</v>
      </c>
      <c r="B370" s="658" t="s">
        <v>142</v>
      </c>
      <c r="C370" s="404"/>
      <c r="D370" s="641" t="s">
        <v>890</v>
      </c>
      <c r="E370" s="405"/>
      <c r="F370" s="692">
        <f>0.2*F$365</f>
        <v>12.267200000000001</v>
      </c>
      <c r="G370" s="692">
        <f>0.2*G$365</f>
        <v>8.1180000000000003</v>
      </c>
      <c r="H370" s="692">
        <f>0.2*H$365</f>
        <v>2.7060000000000004</v>
      </c>
      <c r="I370" s="692"/>
      <c r="J370" s="692"/>
      <c r="K370" s="692">
        <f>0.2*K$365</f>
        <v>2.7060000000000004</v>
      </c>
      <c r="L370" s="692"/>
      <c r="M370" s="692"/>
      <c r="N370" s="692"/>
      <c r="O370" s="692"/>
      <c r="P370" s="692"/>
      <c r="Q370" s="692">
        <f>0.2*Q$365</f>
        <v>16.236000000000001</v>
      </c>
      <c r="R370" s="692">
        <f>0.2*R$365</f>
        <v>16.236000000000001</v>
      </c>
      <c r="S370" s="689"/>
      <c r="T370" s="689"/>
      <c r="U370" s="454"/>
    </row>
    <row r="371" spans="1:21" s="59" customFormat="1" ht="15.75">
      <c r="A371" s="769" t="s">
        <v>409</v>
      </c>
      <c r="B371" s="656" t="s">
        <v>150</v>
      </c>
      <c r="C371" s="404"/>
      <c r="D371" s="641" t="s">
        <v>890</v>
      </c>
      <c r="E371" s="405"/>
      <c r="F371" s="692">
        <f>0.25*F$365</f>
        <v>15.334</v>
      </c>
      <c r="G371" s="692">
        <f>0.25*G$365</f>
        <v>10.147499999999999</v>
      </c>
      <c r="H371" s="692">
        <f>0.25*H$365</f>
        <v>3.3825000000000003</v>
      </c>
      <c r="I371" s="692"/>
      <c r="J371" s="692"/>
      <c r="K371" s="692">
        <f>0.25*K$365</f>
        <v>3.3825000000000003</v>
      </c>
      <c r="L371" s="692"/>
      <c r="M371" s="692"/>
      <c r="N371" s="692"/>
      <c r="O371" s="692"/>
      <c r="P371" s="692"/>
      <c r="Q371" s="692">
        <f>0.25*Q$365</f>
        <v>20.294999999999998</v>
      </c>
      <c r="R371" s="692">
        <f>0.25*R$365</f>
        <v>20.294999999999998</v>
      </c>
      <c r="S371" s="689"/>
      <c r="T371" s="689"/>
      <c r="U371" s="454"/>
    </row>
    <row r="372" spans="1:21" s="284" customFormat="1" ht="15.75">
      <c r="A372" s="769"/>
      <c r="B372" s="656"/>
      <c r="C372" s="404"/>
      <c r="D372" s="641"/>
      <c r="E372" s="405"/>
      <c r="F372" s="664">
        <f t="shared" ref="F372:U372" si="148">F365-SUM(F366:F371)</f>
        <v>0</v>
      </c>
      <c r="G372" s="664">
        <f t="shared" si="148"/>
        <v>0</v>
      </c>
      <c r="H372" s="664">
        <f t="shared" si="148"/>
        <v>0</v>
      </c>
      <c r="I372" s="664">
        <f t="shared" si="148"/>
        <v>0</v>
      </c>
      <c r="J372" s="664">
        <f t="shared" si="148"/>
        <v>0</v>
      </c>
      <c r="K372" s="664">
        <f>K365-SUM(K366:K371)</f>
        <v>0</v>
      </c>
      <c r="L372" s="664">
        <f t="shared" si="148"/>
        <v>0</v>
      </c>
      <c r="M372" s="664">
        <f t="shared" si="148"/>
        <v>0</v>
      </c>
      <c r="N372" s="664">
        <f t="shared" si="148"/>
        <v>0</v>
      </c>
      <c r="O372" s="664">
        <f t="shared" si="148"/>
        <v>0</v>
      </c>
      <c r="P372" s="664"/>
      <c r="Q372" s="664">
        <f t="shared" si="148"/>
        <v>0</v>
      </c>
      <c r="R372" s="664">
        <f t="shared" si="148"/>
        <v>0</v>
      </c>
      <c r="S372" s="664">
        <f t="shared" si="148"/>
        <v>0</v>
      </c>
      <c r="T372" s="664">
        <f t="shared" si="148"/>
        <v>0</v>
      </c>
      <c r="U372" s="664">
        <f t="shared" si="148"/>
        <v>0</v>
      </c>
    </row>
    <row r="373" spans="1:21" s="420" customFormat="1" ht="15.75">
      <c r="A373" s="374"/>
      <c r="B373" s="658"/>
      <c r="C373" s="429"/>
      <c r="D373" s="430"/>
      <c r="E373" s="431"/>
      <c r="F373" s="690"/>
      <c r="G373" s="690"/>
      <c r="H373" s="690"/>
      <c r="I373" s="690"/>
      <c r="J373" s="690"/>
      <c r="K373" s="690"/>
      <c r="L373" s="690"/>
      <c r="M373" s="690"/>
      <c r="N373" s="690"/>
      <c r="O373" s="690"/>
      <c r="P373" s="690"/>
      <c r="Q373" s="690"/>
      <c r="R373" s="690"/>
      <c r="S373" s="690"/>
      <c r="T373" s="690"/>
      <c r="U373" s="690"/>
    </row>
    <row r="374" spans="1:21" s="401" customFormat="1" ht="15.75">
      <c r="A374" s="417" t="s">
        <v>410</v>
      </c>
      <c r="B374" s="693" t="s">
        <v>164</v>
      </c>
      <c r="C374" s="427"/>
      <c r="D374" s="398"/>
      <c r="E374" s="399"/>
      <c r="F374" s="669"/>
      <c r="G374" s="669"/>
      <c r="H374" s="820">
        <f>0.11*H258</f>
        <v>148.83000000000001</v>
      </c>
      <c r="I374" s="669"/>
      <c r="J374" s="669"/>
      <c r="K374" s="820">
        <f>0.11*K258</f>
        <v>148.83000000000001</v>
      </c>
      <c r="L374" s="820">
        <f>0.29*L258</f>
        <v>784.7399999999999</v>
      </c>
      <c r="M374" s="820">
        <f>0.2*M258</f>
        <v>270.60000000000002</v>
      </c>
      <c r="N374" s="669"/>
      <c r="O374" s="669"/>
      <c r="P374" s="669"/>
      <c r="Q374" s="820">
        <f>0.02*Q258</f>
        <v>81.179999999999993</v>
      </c>
      <c r="R374" s="820">
        <f>0.02*R258</f>
        <v>81.179999999999993</v>
      </c>
      <c r="S374" s="669">
        <v>0</v>
      </c>
      <c r="T374" s="669">
        <v>0</v>
      </c>
      <c r="U374" s="669">
        <v>0</v>
      </c>
    </row>
    <row r="375" spans="1:21" s="432" customFormat="1" ht="15.75">
      <c r="A375" s="526" t="s">
        <v>411</v>
      </c>
      <c r="B375" s="695" t="s">
        <v>112</v>
      </c>
      <c r="C375" s="429"/>
      <c r="D375" s="430" t="s">
        <v>890</v>
      </c>
      <c r="E375" s="431"/>
      <c r="F375" s="692"/>
      <c r="G375" s="692"/>
      <c r="H375" s="692">
        <f>0.075*H$374</f>
        <v>11.16225</v>
      </c>
      <c r="I375" s="692"/>
      <c r="J375" s="692"/>
      <c r="K375" s="692">
        <f>0.075*K$374</f>
        <v>11.16225</v>
      </c>
      <c r="L375" s="692">
        <f t="shared" ref="L375:R375" si="149">0.075*L$374</f>
        <v>58.855499999999992</v>
      </c>
      <c r="M375" s="692">
        <f t="shared" si="149"/>
        <v>20.295000000000002</v>
      </c>
      <c r="N375" s="692"/>
      <c r="O375" s="692"/>
      <c r="P375" s="692"/>
      <c r="Q375" s="692">
        <f t="shared" si="149"/>
        <v>6.0884999999999989</v>
      </c>
      <c r="R375" s="692">
        <f t="shared" si="149"/>
        <v>6.0884999999999989</v>
      </c>
      <c r="S375" s="689"/>
      <c r="T375" s="689"/>
      <c r="U375" s="437"/>
    </row>
    <row r="376" spans="1:21" s="432" customFormat="1" ht="15.75">
      <c r="A376" s="526" t="s">
        <v>412</v>
      </c>
      <c r="B376" s="695" t="s">
        <v>167</v>
      </c>
      <c r="C376" s="429"/>
      <c r="D376" s="430" t="s">
        <v>890</v>
      </c>
      <c r="E376" s="431"/>
      <c r="F376" s="692"/>
      <c r="G376" s="692"/>
      <c r="H376" s="692">
        <f>0.075*H$374</f>
        <v>11.16225</v>
      </c>
      <c r="I376" s="692"/>
      <c r="J376" s="692"/>
      <c r="K376" s="692">
        <f>0.075*K$374</f>
        <v>11.16225</v>
      </c>
      <c r="L376" s="692">
        <f t="shared" ref="H376:R378" si="150">0.075*L$374</f>
        <v>58.855499999999992</v>
      </c>
      <c r="M376" s="692">
        <f t="shared" si="150"/>
        <v>20.295000000000002</v>
      </c>
      <c r="N376" s="692"/>
      <c r="O376" s="692"/>
      <c r="P376" s="692"/>
      <c r="Q376" s="692">
        <f t="shared" si="150"/>
        <v>6.0884999999999989</v>
      </c>
      <c r="R376" s="692">
        <f t="shared" si="150"/>
        <v>6.0884999999999989</v>
      </c>
      <c r="S376" s="689"/>
      <c r="T376" s="689"/>
      <c r="U376" s="437"/>
    </row>
    <row r="377" spans="1:21" s="432" customFormat="1" ht="15.75">
      <c r="A377" s="526" t="s">
        <v>413</v>
      </c>
      <c r="B377" s="695" t="s">
        <v>670</v>
      </c>
      <c r="C377" s="429"/>
      <c r="D377" s="430" t="s">
        <v>890</v>
      </c>
      <c r="E377" s="431"/>
      <c r="F377" s="692"/>
      <c r="G377" s="692"/>
      <c r="H377" s="692">
        <f t="shared" si="150"/>
        <v>11.16225</v>
      </c>
      <c r="I377" s="692"/>
      <c r="J377" s="692"/>
      <c r="K377" s="692">
        <f t="shared" si="150"/>
        <v>11.16225</v>
      </c>
      <c r="L377" s="692">
        <f t="shared" si="150"/>
        <v>58.855499999999992</v>
      </c>
      <c r="M377" s="692">
        <f t="shared" si="150"/>
        <v>20.295000000000002</v>
      </c>
      <c r="N377" s="692"/>
      <c r="O377" s="692"/>
      <c r="P377" s="692"/>
      <c r="Q377" s="692">
        <f t="shared" si="150"/>
        <v>6.0884999999999989</v>
      </c>
      <c r="R377" s="692">
        <f t="shared" si="150"/>
        <v>6.0884999999999989</v>
      </c>
      <c r="S377" s="689"/>
      <c r="T377" s="689"/>
      <c r="U377" s="437"/>
    </row>
    <row r="378" spans="1:21" s="432" customFormat="1" ht="15.75">
      <c r="A378" s="526" t="s">
        <v>414</v>
      </c>
      <c r="B378" s="695" t="s">
        <v>173</v>
      </c>
      <c r="C378" s="429"/>
      <c r="D378" s="430" t="s">
        <v>890</v>
      </c>
      <c r="E378" s="431"/>
      <c r="F378" s="692"/>
      <c r="G378" s="692"/>
      <c r="H378" s="692">
        <f t="shared" si="150"/>
        <v>11.16225</v>
      </c>
      <c r="I378" s="692"/>
      <c r="J378" s="692"/>
      <c r="K378" s="692">
        <f t="shared" si="150"/>
        <v>11.16225</v>
      </c>
      <c r="L378" s="692">
        <f t="shared" si="150"/>
        <v>58.855499999999992</v>
      </c>
      <c r="M378" s="692">
        <f t="shared" si="150"/>
        <v>20.295000000000002</v>
      </c>
      <c r="N378" s="692"/>
      <c r="O378" s="692"/>
      <c r="P378" s="692"/>
      <c r="Q378" s="692">
        <f t="shared" si="150"/>
        <v>6.0884999999999989</v>
      </c>
      <c r="R378" s="692">
        <f t="shared" si="150"/>
        <v>6.0884999999999989</v>
      </c>
      <c r="S378" s="689"/>
      <c r="T378" s="689"/>
      <c r="U378" s="437"/>
    </row>
    <row r="379" spans="1:21" s="369" customFormat="1" ht="15.75">
      <c r="A379" s="657" t="s">
        <v>415</v>
      </c>
      <c r="B379" s="658" t="s">
        <v>142</v>
      </c>
      <c r="C379" s="429"/>
      <c r="D379" s="430" t="s">
        <v>890</v>
      </c>
      <c r="E379" s="431"/>
      <c r="F379" s="692"/>
      <c r="G379" s="692"/>
      <c r="H379" s="692">
        <f>0.175*H$374</f>
        <v>26.045249999999999</v>
      </c>
      <c r="I379" s="692"/>
      <c r="J379" s="692"/>
      <c r="K379" s="692">
        <f>0.175*K$374</f>
        <v>26.045249999999999</v>
      </c>
      <c r="L379" s="692">
        <f t="shared" ref="L379:R379" si="151">0.175*L$374</f>
        <v>137.32949999999997</v>
      </c>
      <c r="M379" s="692">
        <f t="shared" si="151"/>
        <v>47.355000000000004</v>
      </c>
      <c r="N379" s="692"/>
      <c r="O379" s="692"/>
      <c r="P379" s="692"/>
      <c r="Q379" s="692">
        <f t="shared" si="151"/>
        <v>14.206499999999998</v>
      </c>
      <c r="R379" s="692">
        <f t="shared" si="151"/>
        <v>14.206499999999998</v>
      </c>
      <c r="S379" s="689"/>
      <c r="T379" s="689"/>
      <c r="U379" s="437"/>
    </row>
    <row r="380" spans="1:21" s="369" customFormat="1" ht="15.75">
      <c r="A380" s="657" t="s">
        <v>416</v>
      </c>
      <c r="B380" s="658" t="s">
        <v>135</v>
      </c>
      <c r="C380" s="429"/>
      <c r="D380" s="430" t="s">
        <v>890</v>
      </c>
      <c r="E380" s="431"/>
      <c r="F380" s="692"/>
      <c r="G380" s="692"/>
      <c r="H380" s="692">
        <f t="shared" ref="H380:R380" si="152">0.175*H$374</f>
        <v>26.045249999999999</v>
      </c>
      <c r="I380" s="692"/>
      <c r="J380" s="692"/>
      <c r="K380" s="692">
        <f t="shared" si="152"/>
        <v>26.045249999999999</v>
      </c>
      <c r="L380" s="692">
        <f t="shared" si="152"/>
        <v>137.32949999999997</v>
      </c>
      <c r="M380" s="692">
        <f t="shared" si="152"/>
        <v>47.355000000000004</v>
      </c>
      <c r="N380" s="692"/>
      <c r="O380" s="692"/>
      <c r="P380" s="692"/>
      <c r="Q380" s="692">
        <f t="shared" si="152"/>
        <v>14.206499999999998</v>
      </c>
      <c r="R380" s="692">
        <f t="shared" si="152"/>
        <v>14.206499999999998</v>
      </c>
      <c r="S380" s="689"/>
      <c r="T380" s="689"/>
      <c r="U380" s="437"/>
    </row>
    <row r="381" spans="1:21" s="369" customFormat="1" ht="15.75">
      <c r="A381" s="657" t="s">
        <v>417</v>
      </c>
      <c r="B381" s="658" t="s">
        <v>326</v>
      </c>
      <c r="C381" s="429"/>
      <c r="D381" s="641" t="s">
        <v>890</v>
      </c>
      <c r="E381" s="431"/>
      <c r="F381" s="692"/>
      <c r="G381" s="692"/>
      <c r="H381" s="692">
        <f>0.35*H$374</f>
        <v>52.090499999999999</v>
      </c>
      <c r="I381" s="692">
        <f t="shared" ref="I381:R381" si="153">0.35*I$374</f>
        <v>0</v>
      </c>
      <c r="J381" s="692">
        <f t="shared" si="153"/>
        <v>0</v>
      </c>
      <c r="K381" s="692">
        <f>0.35*K$374</f>
        <v>52.090499999999999</v>
      </c>
      <c r="L381" s="692">
        <f t="shared" si="153"/>
        <v>274.65899999999993</v>
      </c>
      <c r="M381" s="692">
        <f t="shared" si="153"/>
        <v>94.710000000000008</v>
      </c>
      <c r="N381" s="692"/>
      <c r="O381" s="692"/>
      <c r="P381" s="692"/>
      <c r="Q381" s="692">
        <f t="shared" si="153"/>
        <v>28.412999999999997</v>
      </c>
      <c r="R381" s="692">
        <f t="shared" si="153"/>
        <v>28.412999999999997</v>
      </c>
      <c r="S381" s="689"/>
      <c r="T381" s="689"/>
      <c r="U381" s="437"/>
    </row>
    <row r="382" spans="1:21" s="240" customFormat="1" ht="15.75">
      <c r="A382" s="365"/>
      <c r="B382" s="615"/>
      <c r="C382" s="320"/>
      <c r="D382" s="238"/>
      <c r="E382" s="239"/>
      <c r="F382" s="664">
        <f t="shared" ref="F382:U382" si="154">F374-SUM(F375:F381)</f>
        <v>0</v>
      </c>
      <c r="G382" s="664">
        <f t="shared" si="154"/>
        <v>0</v>
      </c>
      <c r="H382" s="664">
        <f t="shared" si="154"/>
        <v>0</v>
      </c>
      <c r="I382" s="664">
        <f t="shared" si="154"/>
        <v>0</v>
      </c>
      <c r="J382" s="664">
        <f t="shared" si="154"/>
        <v>0</v>
      </c>
      <c r="K382" s="664">
        <f>K374-SUM(K375:K381)</f>
        <v>0</v>
      </c>
      <c r="L382" s="664">
        <f t="shared" si="154"/>
        <v>0</v>
      </c>
      <c r="M382" s="664">
        <f t="shared" si="154"/>
        <v>0</v>
      </c>
      <c r="N382" s="664">
        <f t="shared" si="154"/>
        <v>0</v>
      </c>
      <c r="O382" s="664">
        <f t="shared" si="154"/>
        <v>0</v>
      </c>
      <c r="P382" s="664"/>
      <c r="Q382" s="664">
        <f t="shared" si="154"/>
        <v>0</v>
      </c>
      <c r="R382" s="664">
        <f t="shared" si="154"/>
        <v>0</v>
      </c>
      <c r="S382" s="664">
        <f t="shared" si="154"/>
        <v>0</v>
      </c>
      <c r="T382" s="664">
        <f t="shared" si="154"/>
        <v>0</v>
      </c>
      <c r="U382" s="664">
        <f t="shared" si="154"/>
        <v>0</v>
      </c>
    </row>
    <row r="383" spans="1:21" s="420" customFormat="1" ht="15.75">
      <c r="A383" s="657"/>
      <c r="B383" s="658"/>
      <c r="C383" s="429"/>
      <c r="D383" s="430"/>
      <c r="E383" s="431"/>
      <c r="F383" s="690"/>
      <c r="G383" s="690"/>
      <c r="H383" s="690"/>
      <c r="I383" s="690"/>
      <c r="J383" s="690"/>
      <c r="K383" s="690"/>
      <c r="L383" s="690"/>
      <c r="M383" s="690"/>
      <c r="N383" s="690"/>
      <c r="O383" s="690"/>
      <c r="P383" s="690"/>
      <c r="Q383" s="690"/>
      <c r="R383" s="690"/>
      <c r="S383" s="690"/>
      <c r="T383" s="690"/>
      <c r="U383" s="690"/>
    </row>
    <row r="384" spans="1:21" s="401" customFormat="1" ht="15.75">
      <c r="A384" s="417" t="s">
        <v>418</v>
      </c>
      <c r="B384" s="604" t="s">
        <v>176</v>
      </c>
      <c r="C384" s="427"/>
      <c r="D384" s="398"/>
      <c r="E384" s="399"/>
      <c r="F384" s="669"/>
      <c r="G384" s="669"/>
      <c r="H384" s="820">
        <f>0.01*H258</f>
        <v>13.530000000000001</v>
      </c>
      <c r="I384" s="820">
        <f>0.18*I258</f>
        <v>487.08</v>
      </c>
      <c r="J384" s="820">
        <f>0.05*J$258</f>
        <v>67.650000000000006</v>
      </c>
      <c r="K384" s="820">
        <f>0.01*K258</f>
        <v>13.530000000000001</v>
      </c>
      <c r="L384" s="820">
        <f>0.05*L$258</f>
        <v>135.30000000000001</v>
      </c>
      <c r="M384" s="820">
        <f>0.01*M$258</f>
        <v>13.530000000000001</v>
      </c>
      <c r="N384" s="669"/>
      <c r="O384" s="669"/>
      <c r="P384" s="669"/>
      <c r="Q384" s="820">
        <f>0.05*Q$258</f>
        <v>202.95</v>
      </c>
      <c r="R384" s="820">
        <f>0.04*R$258</f>
        <v>162.35999999999999</v>
      </c>
      <c r="S384" s="669">
        <v>0</v>
      </c>
      <c r="T384" s="669">
        <v>0</v>
      </c>
      <c r="U384" s="669">
        <v>0</v>
      </c>
    </row>
    <row r="385" spans="1:21" s="59" customFormat="1" ht="15.75">
      <c r="A385" s="769" t="s">
        <v>419</v>
      </c>
      <c r="B385" s="658" t="s">
        <v>326</v>
      </c>
      <c r="C385" s="404"/>
      <c r="D385" s="641" t="s">
        <v>890</v>
      </c>
      <c r="E385" s="405"/>
      <c r="F385" s="692"/>
      <c r="G385" s="692"/>
      <c r="H385" s="692">
        <f>0.25*H$384</f>
        <v>3.3825000000000003</v>
      </c>
      <c r="I385" s="692">
        <f t="shared" ref="I385:R385" si="155">0.25*I$384</f>
        <v>121.77</v>
      </c>
      <c r="J385" s="692">
        <f t="shared" si="155"/>
        <v>16.912500000000001</v>
      </c>
      <c r="K385" s="692">
        <f>0.25*K$384</f>
        <v>3.3825000000000003</v>
      </c>
      <c r="L385" s="692">
        <f t="shared" si="155"/>
        <v>33.825000000000003</v>
      </c>
      <c r="M385" s="692">
        <f t="shared" si="155"/>
        <v>3.3825000000000003</v>
      </c>
      <c r="N385" s="692"/>
      <c r="O385" s="692"/>
      <c r="P385" s="692"/>
      <c r="Q385" s="692">
        <f t="shared" si="155"/>
        <v>50.737499999999997</v>
      </c>
      <c r="R385" s="692">
        <f t="shared" si="155"/>
        <v>40.589999999999996</v>
      </c>
      <c r="S385" s="689"/>
      <c r="T385" s="689"/>
      <c r="U385" s="457"/>
    </row>
    <row r="386" spans="1:21" s="432" customFormat="1" ht="15.75">
      <c r="A386" s="526" t="s">
        <v>420</v>
      </c>
      <c r="B386" s="695" t="s">
        <v>135</v>
      </c>
      <c r="C386" s="429"/>
      <c r="D386" s="430" t="s">
        <v>890</v>
      </c>
      <c r="E386" s="431"/>
      <c r="F386" s="692"/>
      <c r="G386" s="692"/>
      <c r="H386" s="692">
        <f>0.1*H$384</f>
        <v>1.3530000000000002</v>
      </c>
      <c r="I386" s="692">
        <f t="shared" ref="I386:R386" si="156">0.1*I$384</f>
        <v>48.707999999999998</v>
      </c>
      <c r="J386" s="692">
        <f t="shared" si="156"/>
        <v>6.7650000000000006</v>
      </c>
      <c r="K386" s="692">
        <f>0.1*K$384</f>
        <v>1.3530000000000002</v>
      </c>
      <c r="L386" s="692">
        <f t="shared" si="156"/>
        <v>13.530000000000001</v>
      </c>
      <c r="M386" s="692">
        <f t="shared" si="156"/>
        <v>1.3530000000000002</v>
      </c>
      <c r="N386" s="692"/>
      <c r="O386" s="692"/>
      <c r="P386" s="692"/>
      <c r="Q386" s="692">
        <f t="shared" si="156"/>
        <v>20.295000000000002</v>
      </c>
      <c r="R386" s="692">
        <f t="shared" si="156"/>
        <v>16.236000000000001</v>
      </c>
      <c r="S386" s="689"/>
      <c r="T386" s="689"/>
      <c r="U386" s="437"/>
    </row>
    <row r="387" spans="1:21" s="432" customFormat="1" ht="15.75">
      <c r="A387" s="526" t="s">
        <v>421</v>
      </c>
      <c r="B387" s="695" t="s">
        <v>112</v>
      </c>
      <c r="C387" s="429"/>
      <c r="D387" s="430" t="s">
        <v>890</v>
      </c>
      <c r="E387" s="431"/>
      <c r="F387" s="692"/>
      <c r="G387" s="692"/>
      <c r="H387" s="692">
        <f t="shared" ref="H387:R388" si="157">0.1*H$384</f>
        <v>1.3530000000000002</v>
      </c>
      <c r="I387" s="692">
        <f t="shared" si="157"/>
        <v>48.707999999999998</v>
      </c>
      <c r="J387" s="692">
        <f t="shared" si="157"/>
        <v>6.7650000000000006</v>
      </c>
      <c r="K387" s="692">
        <f t="shared" si="157"/>
        <v>1.3530000000000002</v>
      </c>
      <c r="L387" s="692">
        <f t="shared" si="157"/>
        <v>13.530000000000001</v>
      </c>
      <c r="M387" s="692">
        <f t="shared" si="157"/>
        <v>1.3530000000000002</v>
      </c>
      <c r="N387" s="692"/>
      <c r="O387" s="692"/>
      <c r="P387" s="692"/>
      <c r="Q387" s="692">
        <f t="shared" si="157"/>
        <v>20.295000000000002</v>
      </c>
      <c r="R387" s="692">
        <f t="shared" si="157"/>
        <v>16.236000000000001</v>
      </c>
      <c r="S387" s="689"/>
      <c r="T387" s="689"/>
      <c r="U387" s="437"/>
    </row>
    <row r="388" spans="1:21" s="432" customFormat="1" ht="15.75">
      <c r="A388" s="526" t="s">
        <v>422</v>
      </c>
      <c r="B388" s="695" t="s">
        <v>105</v>
      </c>
      <c r="C388" s="429"/>
      <c r="D388" s="430" t="s">
        <v>890</v>
      </c>
      <c r="E388" s="431"/>
      <c r="F388" s="692"/>
      <c r="G388" s="692"/>
      <c r="H388" s="692">
        <f t="shared" si="157"/>
        <v>1.3530000000000002</v>
      </c>
      <c r="I388" s="692">
        <f t="shared" si="157"/>
        <v>48.707999999999998</v>
      </c>
      <c r="J388" s="692">
        <f t="shared" si="157"/>
        <v>6.7650000000000006</v>
      </c>
      <c r="K388" s="692">
        <f t="shared" si="157"/>
        <v>1.3530000000000002</v>
      </c>
      <c r="L388" s="692">
        <f t="shared" si="157"/>
        <v>13.530000000000001</v>
      </c>
      <c r="M388" s="692">
        <f t="shared" si="157"/>
        <v>1.3530000000000002</v>
      </c>
      <c r="N388" s="692"/>
      <c r="O388" s="692"/>
      <c r="P388" s="692"/>
      <c r="Q388" s="692">
        <f t="shared" si="157"/>
        <v>20.295000000000002</v>
      </c>
      <c r="R388" s="692">
        <f t="shared" si="157"/>
        <v>16.236000000000001</v>
      </c>
      <c r="S388" s="689"/>
      <c r="T388" s="689"/>
      <c r="U388" s="437"/>
    </row>
    <row r="389" spans="1:21" s="59" customFormat="1" ht="15.75">
      <c r="A389" s="769" t="s">
        <v>423</v>
      </c>
      <c r="B389" s="658" t="s">
        <v>142</v>
      </c>
      <c r="C389" s="404"/>
      <c r="D389" s="641" t="s">
        <v>890</v>
      </c>
      <c r="E389" s="405"/>
      <c r="F389" s="692"/>
      <c r="G389" s="692"/>
      <c r="H389" s="692">
        <f>0.25*H$384</f>
        <v>3.3825000000000003</v>
      </c>
      <c r="I389" s="692">
        <f t="shared" ref="I389:R389" si="158">0.25*I$384</f>
        <v>121.77</v>
      </c>
      <c r="J389" s="692">
        <f t="shared" si="158"/>
        <v>16.912500000000001</v>
      </c>
      <c r="K389" s="692">
        <f>0.25*K$384</f>
        <v>3.3825000000000003</v>
      </c>
      <c r="L389" s="692">
        <f t="shared" si="158"/>
        <v>33.825000000000003</v>
      </c>
      <c r="M389" s="692">
        <f t="shared" si="158"/>
        <v>3.3825000000000003</v>
      </c>
      <c r="N389" s="692"/>
      <c r="O389" s="692"/>
      <c r="P389" s="692"/>
      <c r="Q389" s="692">
        <f t="shared" si="158"/>
        <v>50.737499999999997</v>
      </c>
      <c r="R389" s="692">
        <f t="shared" si="158"/>
        <v>40.589999999999996</v>
      </c>
      <c r="S389" s="689"/>
      <c r="T389" s="689"/>
      <c r="U389" s="457"/>
    </row>
    <row r="390" spans="1:21" s="59" customFormat="1" ht="15.75">
      <c r="A390" s="769" t="s">
        <v>424</v>
      </c>
      <c r="B390" s="658" t="s">
        <v>150</v>
      </c>
      <c r="C390" s="404"/>
      <c r="D390" s="641" t="s">
        <v>890</v>
      </c>
      <c r="E390" s="405"/>
      <c r="F390" s="692"/>
      <c r="G390" s="692"/>
      <c r="H390" s="692">
        <f>0.2*H$384</f>
        <v>2.7060000000000004</v>
      </c>
      <c r="I390" s="692">
        <f t="shared" ref="I390:R390" si="159">0.2*I$384</f>
        <v>97.415999999999997</v>
      </c>
      <c r="J390" s="692">
        <f t="shared" si="159"/>
        <v>13.530000000000001</v>
      </c>
      <c r="K390" s="692">
        <f>0.2*K$384</f>
        <v>2.7060000000000004</v>
      </c>
      <c r="L390" s="692">
        <f t="shared" si="159"/>
        <v>27.060000000000002</v>
      </c>
      <c r="M390" s="692">
        <f t="shared" si="159"/>
        <v>2.7060000000000004</v>
      </c>
      <c r="N390" s="692"/>
      <c r="O390" s="692"/>
      <c r="P390" s="692"/>
      <c r="Q390" s="692">
        <f t="shared" si="159"/>
        <v>40.590000000000003</v>
      </c>
      <c r="R390" s="692">
        <f t="shared" si="159"/>
        <v>32.472000000000001</v>
      </c>
      <c r="S390" s="689"/>
      <c r="T390" s="689"/>
      <c r="U390" s="457"/>
    </row>
    <row r="391" spans="1:21" s="240" customFormat="1" ht="15.75">
      <c r="A391" s="365"/>
      <c r="B391" s="616"/>
      <c r="C391" s="320"/>
      <c r="D391" s="238"/>
      <c r="E391" s="239"/>
      <c r="F391" s="664">
        <f t="shared" ref="F391:U391" si="160">F384-SUM(F385:F390)</f>
        <v>0</v>
      </c>
      <c r="G391" s="664">
        <f t="shared" si="160"/>
        <v>0</v>
      </c>
      <c r="H391" s="664">
        <f t="shared" si="160"/>
        <v>0</v>
      </c>
      <c r="I391" s="664">
        <f t="shared" si="160"/>
        <v>0</v>
      </c>
      <c r="J391" s="664">
        <f t="shared" si="160"/>
        <v>0</v>
      </c>
      <c r="K391" s="664">
        <f>K384-SUM(K385:K390)</f>
        <v>0</v>
      </c>
      <c r="L391" s="664">
        <f t="shared" si="160"/>
        <v>0</v>
      </c>
      <c r="M391" s="664">
        <f t="shared" si="160"/>
        <v>0</v>
      </c>
      <c r="N391" s="664">
        <f t="shared" si="160"/>
        <v>0</v>
      </c>
      <c r="O391" s="664">
        <f t="shared" si="160"/>
        <v>0</v>
      </c>
      <c r="P391" s="664"/>
      <c r="Q391" s="664">
        <f t="shared" si="160"/>
        <v>0</v>
      </c>
      <c r="R391" s="664">
        <f t="shared" si="160"/>
        <v>0</v>
      </c>
      <c r="S391" s="664">
        <f t="shared" si="160"/>
        <v>0</v>
      </c>
      <c r="T391" s="664">
        <f t="shared" si="160"/>
        <v>0</v>
      </c>
      <c r="U391" s="664">
        <f t="shared" si="160"/>
        <v>0</v>
      </c>
    </row>
    <row r="392" spans="1:21" s="59" customFormat="1" ht="15.75">
      <c r="A392" s="769"/>
      <c r="B392" s="656"/>
      <c r="C392" s="404"/>
      <c r="D392" s="641"/>
      <c r="E392" s="405"/>
      <c r="F392" s="690"/>
      <c r="G392" s="690"/>
      <c r="H392" s="690"/>
      <c r="I392" s="690"/>
      <c r="J392" s="690"/>
      <c r="K392" s="690"/>
      <c r="L392" s="690"/>
      <c r="M392" s="690"/>
      <c r="N392" s="690"/>
      <c r="O392" s="690"/>
      <c r="P392" s="690"/>
      <c r="Q392" s="690"/>
      <c r="R392" s="690"/>
      <c r="S392" s="690"/>
      <c r="T392" s="690"/>
      <c r="U392" s="690"/>
    </row>
    <row r="393" spans="1:21" s="288" customFormat="1" ht="31.5">
      <c r="A393" s="417" t="s">
        <v>425</v>
      </c>
      <c r="B393" s="659" t="s">
        <v>181</v>
      </c>
      <c r="C393" s="427"/>
      <c r="D393" s="398"/>
      <c r="E393" s="399"/>
      <c r="F393" s="666"/>
      <c r="G393" s="666"/>
      <c r="H393" s="668">
        <f>0.01*H$258</f>
        <v>13.530000000000001</v>
      </c>
      <c r="I393" s="666"/>
      <c r="J393" s="666"/>
      <c r="K393" s="668">
        <f>0.01*K$258</f>
        <v>13.530000000000001</v>
      </c>
      <c r="L393" s="668">
        <f>0.03*L$258</f>
        <v>81.179999999999993</v>
      </c>
      <c r="M393" s="668">
        <f>0.02*M$258</f>
        <v>27.060000000000002</v>
      </c>
      <c r="N393" s="666"/>
      <c r="O393" s="666"/>
      <c r="P393" s="666"/>
      <c r="Q393" s="668">
        <f>0.005*Q$258</f>
        <v>20.294999999999998</v>
      </c>
      <c r="R393" s="668">
        <f>0.005*R$258</f>
        <v>20.294999999999998</v>
      </c>
      <c r="S393" s="666">
        <v>0</v>
      </c>
      <c r="T393" s="666">
        <v>0</v>
      </c>
      <c r="U393" s="666">
        <v>0</v>
      </c>
    </row>
    <row r="394" spans="1:21" s="59" customFormat="1" ht="15.75">
      <c r="A394" s="769" t="s">
        <v>426</v>
      </c>
      <c r="B394" s="658" t="s">
        <v>326</v>
      </c>
      <c r="C394" s="404"/>
      <c r="D394" s="641" t="s">
        <v>890</v>
      </c>
      <c r="E394" s="405"/>
      <c r="F394" s="692"/>
      <c r="G394" s="692"/>
      <c r="H394" s="692">
        <f>0.25*H$393</f>
        <v>3.3825000000000003</v>
      </c>
      <c r="I394" s="692"/>
      <c r="J394" s="692"/>
      <c r="K394" s="692">
        <f>0.25*K$393</f>
        <v>3.3825000000000003</v>
      </c>
      <c r="L394" s="692">
        <f t="shared" ref="L394:R394" si="161">0.25*L$393</f>
        <v>20.294999999999998</v>
      </c>
      <c r="M394" s="692">
        <f t="shared" si="161"/>
        <v>6.7650000000000006</v>
      </c>
      <c r="N394" s="692"/>
      <c r="O394" s="692"/>
      <c r="P394" s="692"/>
      <c r="Q394" s="692">
        <f t="shared" si="161"/>
        <v>5.0737499999999995</v>
      </c>
      <c r="R394" s="692">
        <f t="shared" si="161"/>
        <v>5.0737499999999995</v>
      </c>
      <c r="S394" s="689"/>
      <c r="T394" s="689"/>
      <c r="U394" s="457"/>
    </row>
    <row r="395" spans="1:21" s="432" customFormat="1" ht="15.75">
      <c r="A395" s="526" t="s">
        <v>427</v>
      </c>
      <c r="B395" s="695" t="s">
        <v>135</v>
      </c>
      <c r="C395" s="429"/>
      <c r="D395" s="430" t="s">
        <v>890</v>
      </c>
      <c r="E395" s="431"/>
      <c r="F395" s="692"/>
      <c r="G395" s="692"/>
      <c r="H395" s="692">
        <f>0.2*H393</f>
        <v>2.7060000000000004</v>
      </c>
      <c r="I395" s="692"/>
      <c r="J395" s="692"/>
      <c r="K395" s="692">
        <f t="shared" ref="K395:Q395" si="162">0.2*K393</f>
        <v>2.7060000000000004</v>
      </c>
      <c r="L395" s="692">
        <f t="shared" si="162"/>
        <v>16.236000000000001</v>
      </c>
      <c r="M395" s="692">
        <f t="shared" si="162"/>
        <v>5.4120000000000008</v>
      </c>
      <c r="N395" s="692"/>
      <c r="O395" s="692"/>
      <c r="P395" s="692"/>
      <c r="Q395" s="692">
        <f t="shared" si="162"/>
        <v>4.0590000000000002</v>
      </c>
      <c r="R395" s="692">
        <f>0.2*R393</f>
        <v>4.0590000000000002</v>
      </c>
      <c r="S395" s="689"/>
      <c r="T395" s="689"/>
      <c r="U395" s="437"/>
    </row>
    <row r="396" spans="1:21" s="432" customFormat="1" ht="15.75">
      <c r="A396" s="526" t="s">
        <v>428</v>
      </c>
      <c r="B396" s="695" t="s">
        <v>112</v>
      </c>
      <c r="C396" s="429"/>
      <c r="D396" s="430" t="s">
        <v>890</v>
      </c>
      <c r="E396" s="431"/>
      <c r="F396" s="692"/>
      <c r="G396" s="692"/>
      <c r="H396" s="692">
        <f>0.1*H$393</f>
        <v>1.3530000000000002</v>
      </c>
      <c r="I396" s="692"/>
      <c r="J396" s="692"/>
      <c r="K396" s="692">
        <f t="shared" ref="K396:M397" si="163">0.1*K$393</f>
        <v>1.3530000000000002</v>
      </c>
      <c r="L396" s="692">
        <f t="shared" si="163"/>
        <v>8.1180000000000003</v>
      </c>
      <c r="M396" s="692">
        <f t="shared" si="163"/>
        <v>2.7060000000000004</v>
      </c>
      <c r="N396" s="692"/>
      <c r="O396" s="692"/>
      <c r="P396" s="692"/>
      <c r="Q396" s="692">
        <f>0.1*Q$393</f>
        <v>2.0295000000000001</v>
      </c>
      <c r="R396" s="692">
        <f>0.1*R$393</f>
        <v>2.0295000000000001</v>
      </c>
      <c r="S396" s="689"/>
      <c r="T396" s="689"/>
      <c r="U396" s="437"/>
    </row>
    <row r="397" spans="1:21" s="432" customFormat="1" ht="15.75">
      <c r="A397" s="657" t="s">
        <v>429</v>
      </c>
      <c r="B397" s="658" t="s">
        <v>105</v>
      </c>
      <c r="C397" s="429"/>
      <c r="D397" s="430" t="s">
        <v>890</v>
      </c>
      <c r="E397" s="431"/>
      <c r="F397" s="692"/>
      <c r="G397" s="692"/>
      <c r="H397" s="692">
        <f>0.1*H$393</f>
        <v>1.3530000000000002</v>
      </c>
      <c r="I397" s="692"/>
      <c r="J397" s="692"/>
      <c r="K397" s="692">
        <f t="shared" si="163"/>
        <v>1.3530000000000002</v>
      </c>
      <c r="L397" s="692">
        <f t="shared" si="163"/>
        <v>8.1180000000000003</v>
      </c>
      <c r="M397" s="692">
        <f t="shared" si="163"/>
        <v>2.7060000000000004</v>
      </c>
      <c r="N397" s="692"/>
      <c r="O397" s="692"/>
      <c r="P397" s="692"/>
      <c r="Q397" s="692">
        <f>0.1*Q$393</f>
        <v>2.0295000000000001</v>
      </c>
      <c r="R397" s="692">
        <f>0.1*R$393</f>
        <v>2.0295000000000001</v>
      </c>
      <c r="S397" s="689"/>
      <c r="T397" s="689"/>
      <c r="U397" s="437"/>
    </row>
    <row r="398" spans="1:21" s="59" customFormat="1" ht="15.75">
      <c r="A398" s="769" t="s">
        <v>430</v>
      </c>
      <c r="B398" s="658" t="s">
        <v>142</v>
      </c>
      <c r="C398" s="404"/>
      <c r="D398" s="641" t="s">
        <v>890</v>
      </c>
      <c r="E398" s="405"/>
      <c r="F398" s="692"/>
      <c r="G398" s="692"/>
      <c r="H398" s="692">
        <f>0.25*H$393</f>
        <v>3.3825000000000003</v>
      </c>
      <c r="I398" s="692"/>
      <c r="J398" s="692"/>
      <c r="K398" s="692">
        <f>0.25*K$393</f>
        <v>3.3825000000000003</v>
      </c>
      <c r="L398" s="692">
        <f t="shared" ref="L398:R398" si="164">0.25*L$393</f>
        <v>20.294999999999998</v>
      </c>
      <c r="M398" s="692">
        <f t="shared" si="164"/>
        <v>6.7650000000000006</v>
      </c>
      <c r="N398" s="692"/>
      <c r="O398" s="692"/>
      <c r="P398" s="692"/>
      <c r="Q398" s="692">
        <f t="shared" si="164"/>
        <v>5.0737499999999995</v>
      </c>
      <c r="R398" s="692">
        <f t="shared" si="164"/>
        <v>5.0737499999999995</v>
      </c>
      <c r="S398" s="689"/>
      <c r="T398" s="689"/>
      <c r="U398" s="457"/>
    </row>
    <row r="399" spans="1:21" s="59" customFormat="1" ht="15.75">
      <c r="A399" s="769" t="s">
        <v>431</v>
      </c>
      <c r="B399" s="658" t="s">
        <v>150</v>
      </c>
      <c r="C399" s="404"/>
      <c r="D399" s="641" t="s">
        <v>890</v>
      </c>
      <c r="E399" s="405"/>
      <c r="F399" s="692"/>
      <c r="G399" s="692"/>
      <c r="H399" s="692">
        <f>0.1*H393</f>
        <v>1.3530000000000002</v>
      </c>
      <c r="I399" s="692"/>
      <c r="J399" s="692"/>
      <c r="K399" s="692">
        <f t="shared" ref="K399:R399" si="165">0.1*K393</f>
        <v>1.3530000000000002</v>
      </c>
      <c r="L399" s="692">
        <f t="shared" si="165"/>
        <v>8.1180000000000003</v>
      </c>
      <c r="M399" s="692">
        <f t="shared" si="165"/>
        <v>2.7060000000000004</v>
      </c>
      <c r="N399" s="692"/>
      <c r="O399" s="692"/>
      <c r="P399" s="692"/>
      <c r="Q399" s="692">
        <f t="shared" si="165"/>
        <v>2.0295000000000001</v>
      </c>
      <c r="R399" s="692">
        <f t="shared" si="165"/>
        <v>2.0295000000000001</v>
      </c>
      <c r="S399" s="689"/>
      <c r="T399" s="689"/>
      <c r="U399" s="457"/>
    </row>
    <row r="400" spans="1:21" s="284" customFormat="1" ht="15.75">
      <c r="A400" s="769"/>
      <c r="B400" s="656"/>
      <c r="C400" s="404"/>
      <c r="D400" s="641"/>
      <c r="E400" s="405"/>
      <c r="F400" s="664">
        <f t="shared" ref="F400:U400" si="166">F393-SUM(F394:F399)</f>
        <v>0</v>
      </c>
      <c r="G400" s="664">
        <f t="shared" si="166"/>
        <v>0</v>
      </c>
      <c r="H400" s="664">
        <f t="shared" si="166"/>
        <v>0</v>
      </c>
      <c r="I400" s="664">
        <f t="shared" si="166"/>
        <v>0</v>
      </c>
      <c r="J400" s="664">
        <f t="shared" si="166"/>
        <v>0</v>
      </c>
      <c r="K400" s="664">
        <f>K393-SUM(K394:K399)</f>
        <v>0</v>
      </c>
      <c r="L400" s="664">
        <f t="shared" si="166"/>
        <v>0</v>
      </c>
      <c r="M400" s="664">
        <f t="shared" si="166"/>
        <v>0</v>
      </c>
      <c r="N400" s="664">
        <f t="shared" si="166"/>
        <v>0</v>
      </c>
      <c r="O400" s="664">
        <f t="shared" si="166"/>
        <v>0</v>
      </c>
      <c r="P400" s="664"/>
      <c r="Q400" s="664">
        <f t="shared" si="166"/>
        <v>0</v>
      </c>
      <c r="R400" s="664">
        <f t="shared" si="166"/>
        <v>0</v>
      </c>
      <c r="S400" s="664">
        <f t="shared" si="166"/>
        <v>0</v>
      </c>
      <c r="T400" s="664">
        <f t="shared" si="166"/>
        <v>0</v>
      </c>
      <c r="U400" s="664">
        <f t="shared" si="166"/>
        <v>0</v>
      </c>
    </row>
    <row r="401" spans="1:21" s="59" customFormat="1" ht="15.75">
      <c r="A401" s="769"/>
      <c r="B401" s="656"/>
      <c r="C401" s="404"/>
      <c r="D401" s="641"/>
      <c r="E401" s="405"/>
      <c r="F401" s="690"/>
      <c r="G401" s="690"/>
      <c r="H401" s="690"/>
      <c r="I401" s="690"/>
      <c r="J401" s="690"/>
      <c r="K401" s="690"/>
      <c r="L401" s="690"/>
      <c r="M401" s="690"/>
      <c r="N401" s="690"/>
      <c r="O401" s="690"/>
      <c r="P401" s="690"/>
      <c r="Q401" s="690"/>
      <c r="R401" s="690"/>
      <c r="S401" s="690"/>
      <c r="T401" s="690"/>
      <c r="U401" s="690"/>
    </row>
    <row r="402" spans="1:21" s="288" customFormat="1" ht="15.75">
      <c r="A402" s="417" t="s">
        <v>432</v>
      </c>
      <c r="B402" s="693" t="s">
        <v>187</v>
      </c>
      <c r="C402" s="427"/>
      <c r="D402" s="398"/>
      <c r="E402" s="399"/>
      <c r="F402" s="666"/>
      <c r="G402" s="666"/>
      <c r="H402" s="668">
        <f>0.01*H$258</f>
        <v>13.530000000000001</v>
      </c>
      <c r="I402" s="668"/>
      <c r="J402" s="668">
        <f>0.01*J$258</f>
        <v>13.530000000000001</v>
      </c>
      <c r="K402" s="668">
        <f>0.01*K$258</f>
        <v>13.530000000000001</v>
      </c>
      <c r="L402" s="668">
        <f>0.1*L$258</f>
        <v>270.60000000000002</v>
      </c>
      <c r="M402" s="668"/>
      <c r="N402" s="666"/>
      <c r="O402" s="666"/>
      <c r="P402" s="666"/>
      <c r="Q402" s="668">
        <f>0.02*Q$258</f>
        <v>81.179999999999993</v>
      </c>
      <c r="R402" s="668">
        <f>0.02*R$258</f>
        <v>81.179999999999993</v>
      </c>
      <c r="S402" s="666">
        <v>0</v>
      </c>
      <c r="T402" s="666">
        <v>0</v>
      </c>
      <c r="U402" s="666">
        <v>0</v>
      </c>
    </row>
    <row r="403" spans="1:21" s="59" customFormat="1" ht="15.75">
      <c r="A403" s="426" t="s">
        <v>433</v>
      </c>
      <c r="B403" s="658" t="s">
        <v>326</v>
      </c>
      <c r="C403" s="396"/>
      <c r="D403" s="641" t="s">
        <v>890</v>
      </c>
      <c r="E403" s="397"/>
      <c r="F403" s="691"/>
      <c r="G403" s="691"/>
      <c r="H403" s="692">
        <f>0.25*H$402</f>
        <v>3.3825000000000003</v>
      </c>
      <c r="I403" s="692"/>
      <c r="J403" s="692">
        <f>0.25*J$402</f>
        <v>3.3825000000000003</v>
      </c>
      <c r="K403" s="692">
        <f>0.25*K$402</f>
        <v>3.3825000000000003</v>
      </c>
      <c r="L403" s="692">
        <f t="shared" ref="L403:R403" si="167">0.25*L$402</f>
        <v>67.650000000000006</v>
      </c>
      <c r="M403" s="692"/>
      <c r="N403" s="692"/>
      <c r="O403" s="692"/>
      <c r="P403" s="692"/>
      <c r="Q403" s="692">
        <f t="shared" si="167"/>
        <v>20.294999999999998</v>
      </c>
      <c r="R403" s="692">
        <f t="shared" si="167"/>
        <v>20.294999999999998</v>
      </c>
      <c r="S403" s="692"/>
      <c r="T403" s="327"/>
      <c r="U403" s="454"/>
    </row>
    <row r="404" spans="1:21" s="432" customFormat="1" ht="15.75">
      <c r="A404" s="525" t="s">
        <v>434</v>
      </c>
      <c r="B404" s="695" t="s">
        <v>135</v>
      </c>
      <c r="C404" s="434"/>
      <c r="D404" s="430" t="s">
        <v>890</v>
      </c>
      <c r="E404" s="435"/>
      <c r="F404" s="691"/>
      <c r="G404" s="691"/>
      <c r="H404" s="692">
        <f>0.2*H402</f>
        <v>2.7060000000000004</v>
      </c>
      <c r="I404" s="692"/>
      <c r="J404" s="692">
        <f t="shared" ref="J404" si="168">0.2*J402</f>
        <v>2.7060000000000004</v>
      </c>
      <c r="K404" s="692">
        <f t="shared" ref="K404:R404" si="169">0.2*K402</f>
        <v>2.7060000000000004</v>
      </c>
      <c r="L404" s="692">
        <f t="shared" si="169"/>
        <v>54.120000000000005</v>
      </c>
      <c r="M404" s="692"/>
      <c r="N404" s="692"/>
      <c r="O404" s="692"/>
      <c r="P404" s="692"/>
      <c r="Q404" s="692">
        <f t="shared" si="169"/>
        <v>16.236000000000001</v>
      </c>
      <c r="R404" s="692">
        <f t="shared" si="169"/>
        <v>16.236000000000001</v>
      </c>
      <c r="S404" s="692"/>
      <c r="T404" s="460"/>
      <c r="U404" s="441"/>
    </row>
    <row r="405" spans="1:21" s="432" customFormat="1" ht="15.75">
      <c r="A405" s="525" t="s">
        <v>435</v>
      </c>
      <c r="B405" s="695" t="s">
        <v>112</v>
      </c>
      <c r="C405" s="434"/>
      <c r="D405" s="430" t="s">
        <v>890</v>
      </c>
      <c r="E405" s="435"/>
      <c r="F405" s="691"/>
      <c r="G405" s="691"/>
      <c r="H405" s="692">
        <f>0.1*H$402</f>
        <v>1.3530000000000002</v>
      </c>
      <c r="I405" s="692"/>
      <c r="J405" s="692">
        <f t="shared" ref="J405:L406" si="170">0.1*J$402</f>
        <v>1.3530000000000002</v>
      </c>
      <c r="K405" s="692">
        <f t="shared" si="170"/>
        <v>1.3530000000000002</v>
      </c>
      <c r="L405" s="692">
        <f t="shared" si="170"/>
        <v>27.060000000000002</v>
      </c>
      <c r="M405" s="692"/>
      <c r="N405" s="692"/>
      <c r="O405" s="692"/>
      <c r="P405" s="692"/>
      <c r="Q405" s="692">
        <f>0.1*Q$402</f>
        <v>8.1180000000000003</v>
      </c>
      <c r="R405" s="692">
        <f>0.1*R$402</f>
        <v>8.1180000000000003</v>
      </c>
      <c r="S405" s="692"/>
      <c r="T405" s="460"/>
      <c r="U405" s="441"/>
    </row>
    <row r="406" spans="1:21" s="432" customFormat="1" ht="15.75">
      <c r="A406" s="433" t="s">
        <v>436</v>
      </c>
      <c r="B406" s="658" t="s">
        <v>105</v>
      </c>
      <c r="C406" s="434"/>
      <c r="D406" s="430" t="s">
        <v>890</v>
      </c>
      <c r="E406" s="435"/>
      <c r="F406" s="691"/>
      <c r="G406" s="691"/>
      <c r="H406" s="692">
        <f>0.1*H$402</f>
        <v>1.3530000000000002</v>
      </c>
      <c r="I406" s="692"/>
      <c r="J406" s="692">
        <f t="shared" si="170"/>
        <v>1.3530000000000002</v>
      </c>
      <c r="K406" s="692">
        <f t="shared" si="170"/>
        <v>1.3530000000000002</v>
      </c>
      <c r="L406" s="692">
        <f t="shared" si="170"/>
        <v>27.060000000000002</v>
      </c>
      <c r="M406" s="692"/>
      <c r="N406" s="692"/>
      <c r="O406" s="692"/>
      <c r="P406" s="692"/>
      <c r="Q406" s="692">
        <f>0.1*Q$402</f>
        <v>8.1180000000000003</v>
      </c>
      <c r="R406" s="692">
        <f>0.1*R$402</f>
        <v>8.1180000000000003</v>
      </c>
      <c r="S406" s="692"/>
      <c r="T406" s="460"/>
      <c r="U406" s="441"/>
    </row>
    <row r="407" spans="1:21" s="59" customFormat="1" ht="15.75">
      <c r="A407" s="426" t="s">
        <v>437</v>
      </c>
      <c r="B407" s="658" t="s">
        <v>142</v>
      </c>
      <c r="C407" s="396"/>
      <c r="D407" s="641" t="s">
        <v>890</v>
      </c>
      <c r="E407" s="397"/>
      <c r="F407" s="691"/>
      <c r="G407" s="691"/>
      <c r="H407" s="692">
        <f t="shared" ref="H407:R407" si="171">0.25*H$402</f>
        <v>3.3825000000000003</v>
      </c>
      <c r="I407" s="692"/>
      <c r="J407" s="692">
        <f t="shared" si="171"/>
        <v>3.3825000000000003</v>
      </c>
      <c r="K407" s="692">
        <f t="shared" si="171"/>
        <v>3.3825000000000003</v>
      </c>
      <c r="L407" s="692">
        <f t="shared" si="171"/>
        <v>67.650000000000006</v>
      </c>
      <c r="M407" s="692"/>
      <c r="N407" s="692"/>
      <c r="O407" s="692"/>
      <c r="P407" s="692"/>
      <c r="Q407" s="692">
        <f t="shared" si="171"/>
        <v>20.294999999999998</v>
      </c>
      <c r="R407" s="692">
        <f t="shared" si="171"/>
        <v>20.294999999999998</v>
      </c>
      <c r="S407" s="692"/>
      <c r="T407" s="327"/>
      <c r="U407" s="454"/>
    </row>
    <row r="408" spans="1:21" s="59" customFormat="1" ht="15.75">
      <c r="A408" s="426" t="s">
        <v>438</v>
      </c>
      <c r="B408" s="658" t="s">
        <v>150</v>
      </c>
      <c r="C408" s="396"/>
      <c r="D408" s="641" t="s">
        <v>890</v>
      </c>
      <c r="E408" s="397"/>
      <c r="F408" s="691"/>
      <c r="G408" s="691"/>
      <c r="H408" s="692">
        <f>0.1*H402</f>
        <v>1.3530000000000002</v>
      </c>
      <c r="I408" s="692"/>
      <c r="J408" s="692">
        <f t="shared" ref="J408" si="172">0.1*J402</f>
        <v>1.3530000000000002</v>
      </c>
      <c r="K408" s="692">
        <f t="shared" ref="K408:R408" si="173">0.1*K402</f>
        <v>1.3530000000000002</v>
      </c>
      <c r="L408" s="692">
        <f t="shared" si="173"/>
        <v>27.060000000000002</v>
      </c>
      <c r="M408" s="692"/>
      <c r="N408" s="692"/>
      <c r="O408" s="692"/>
      <c r="P408" s="692"/>
      <c r="Q408" s="692">
        <f t="shared" si="173"/>
        <v>8.1180000000000003</v>
      </c>
      <c r="R408" s="692">
        <f t="shared" si="173"/>
        <v>8.1180000000000003</v>
      </c>
      <c r="S408" s="692"/>
      <c r="T408" s="327"/>
      <c r="U408" s="454"/>
    </row>
    <row r="409" spans="1:21" s="284" customFormat="1" ht="15.75">
      <c r="A409" s="426"/>
      <c r="B409" s="656"/>
      <c r="C409" s="396"/>
      <c r="D409" s="641"/>
      <c r="E409" s="397"/>
      <c r="F409" s="664">
        <f t="shared" ref="F409:U409" si="174">F402-SUM(F403:F408)</f>
        <v>0</v>
      </c>
      <c r="G409" s="664">
        <f t="shared" si="174"/>
        <v>0</v>
      </c>
      <c r="H409" s="664">
        <f t="shared" si="174"/>
        <v>0</v>
      </c>
      <c r="I409" s="664">
        <f t="shared" si="174"/>
        <v>0</v>
      </c>
      <c r="J409" s="664">
        <f t="shared" si="174"/>
        <v>0</v>
      </c>
      <c r="K409" s="664">
        <f>K402-SUM(K403:K408)</f>
        <v>0</v>
      </c>
      <c r="L409" s="664">
        <f t="shared" si="174"/>
        <v>0</v>
      </c>
      <c r="M409" s="664">
        <f t="shared" si="174"/>
        <v>0</v>
      </c>
      <c r="N409" s="664">
        <f t="shared" si="174"/>
        <v>0</v>
      </c>
      <c r="O409" s="664">
        <f t="shared" si="174"/>
        <v>0</v>
      </c>
      <c r="P409" s="664"/>
      <c r="Q409" s="664">
        <f t="shared" si="174"/>
        <v>0</v>
      </c>
      <c r="R409" s="664">
        <f t="shared" si="174"/>
        <v>0</v>
      </c>
      <c r="S409" s="664">
        <f t="shared" si="174"/>
        <v>0</v>
      </c>
      <c r="T409" s="664">
        <f t="shared" si="174"/>
        <v>0</v>
      </c>
      <c r="U409" s="664">
        <f t="shared" si="174"/>
        <v>0</v>
      </c>
    </row>
    <row r="410" spans="1:21" s="59" customFormat="1" ht="15.75">
      <c r="A410" s="426"/>
      <c r="B410" s="656"/>
      <c r="C410" s="396"/>
      <c r="D410" s="641"/>
      <c r="E410" s="397"/>
      <c r="F410" s="691"/>
      <c r="G410" s="691"/>
      <c r="H410" s="691"/>
      <c r="I410" s="691"/>
      <c r="J410" s="691"/>
      <c r="K410" s="691"/>
      <c r="L410" s="691"/>
      <c r="M410" s="691"/>
      <c r="N410" s="691"/>
      <c r="O410" s="691"/>
      <c r="P410" s="691"/>
      <c r="Q410" s="691"/>
      <c r="R410" s="691"/>
      <c r="S410" s="691"/>
      <c r="T410" s="691"/>
      <c r="U410" s="691"/>
    </row>
    <row r="411" spans="1:21" s="401" customFormat="1" ht="15.75">
      <c r="A411" s="391" t="s">
        <v>439</v>
      </c>
      <c r="B411" s="693" t="s">
        <v>193</v>
      </c>
      <c r="C411" s="290"/>
      <c r="D411" s="398"/>
      <c r="E411" s="291"/>
      <c r="F411" s="669"/>
      <c r="G411" s="669"/>
      <c r="H411" s="820">
        <f>0.06*H$258</f>
        <v>81.179999999999993</v>
      </c>
      <c r="I411" s="669"/>
      <c r="J411" s="820">
        <f>0.02*J$258</f>
        <v>27.060000000000002</v>
      </c>
      <c r="K411" s="820">
        <f>0.06*K$258</f>
        <v>81.179999999999993</v>
      </c>
      <c r="L411" s="820">
        <f>0.12*L$258</f>
        <v>324.71999999999997</v>
      </c>
      <c r="M411" s="820">
        <f>0.2*M$258</f>
        <v>270.60000000000002</v>
      </c>
      <c r="N411" s="820">
        <f>0.01*N$258</f>
        <v>13.530000000000001</v>
      </c>
      <c r="O411" s="820">
        <f>0.03*O$258</f>
        <v>40.589999999999996</v>
      </c>
      <c r="P411" s="820"/>
      <c r="Q411" s="820">
        <f>0.1*Q$258</f>
        <v>405.9</v>
      </c>
      <c r="R411" s="820">
        <f>0.1*R$258</f>
        <v>405.9</v>
      </c>
      <c r="S411" s="669">
        <v>0</v>
      </c>
      <c r="T411" s="669">
        <v>0</v>
      </c>
      <c r="U411" s="669">
        <v>0</v>
      </c>
    </row>
    <row r="412" spans="1:21" s="59" customFormat="1" ht="15.75">
      <c r="A412" s="426" t="s">
        <v>440</v>
      </c>
      <c r="B412" s="658" t="s">
        <v>326</v>
      </c>
      <c r="C412" s="396"/>
      <c r="D412" s="641" t="s">
        <v>890</v>
      </c>
      <c r="E412" s="397"/>
      <c r="F412" s="691"/>
      <c r="G412" s="691"/>
      <c r="H412" s="692">
        <f>0.15*H$411</f>
        <v>12.176999999999998</v>
      </c>
      <c r="I412" s="692"/>
      <c r="J412" s="692">
        <f>0.15*J$411</f>
        <v>4.0590000000000002</v>
      </c>
      <c r="K412" s="692">
        <f>0.15*K$411</f>
        <v>12.176999999999998</v>
      </c>
      <c r="L412" s="692">
        <f t="shared" ref="L412:R412" si="175">0.15*L$411</f>
        <v>48.707999999999991</v>
      </c>
      <c r="M412" s="692">
        <f t="shared" si="175"/>
        <v>40.590000000000003</v>
      </c>
      <c r="N412" s="692">
        <f t="shared" si="175"/>
        <v>2.0295000000000001</v>
      </c>
      <c r="O412" s="692">
        <f t="shared" si="175"/>
        <v>6.0884999999999989</v>
      </c>
      <c r="P412" s="692"/>
      <c r="Q412" s="692">
        <f t="shared" si="175"/>
        <v>60.884999999999991</v>
      </c>
      <c r="R412" s="692">
        <f t="shared" si="175"/>
        <v>60.884999999999991</v>
      </c>
      <c r="S412" s="327"/>
      <c r="T412" s="327"/>
      <c r="U412" s="454"/>
    </row>
    <row r="413" spans="1:21" s="432" customFormat="1" ht="16.5" customHeight="1">
      <c r="A413" s="525" t="s">
        <v>441</v>
      </c>
      <c r="B413" s="695" t="s">
        <v>135</v>
      </c>
      <c r="C413" s="434"/>
      <c r="D413" s="430" t="s">
        <v>890</v>
      </c>
      <c r="E413" s="431"/>
      <c r="F413" s="691"/>
      <c r="G413" s="691"/>
      <c r="H413" s="692">
        <f>0.1*H$411</f>
        <v>8.1180000000000003</v>
      </c>
      <c r="I413" s="692"/>
      <c r="J413" s="692">
        <f>0.1*J$411</f>
        <v>2.7060000000000004</v>
      </c>
      <c r="K413" s="692">
        <f>0.1*K$411</f>
        <v>8.1180000000000003</v>
      </c>
      <c r="L413" s="692">
        <f t="shared" ref="L413:R413" si="176">0.1*L$411</f>
        <v>32.472000000000001</v>
      </c>
      <c r="M413" s="692">
        <f t="shared" si="176"/>
        <v>27.060000000000002</v>
      </c>
      <c r="N413" s="692">
        <f t="shared" si="176"/>
        <v>1.3530000000000002</v>
      </c>
      <c r="O413" s="692">
        <f t="shared" si="176"/>
        <v>4.0590000000000002</v>
      </c>
      <c r="P413" s="692"/>
      <c r="Q413" s="692">
        <f t="shared" si="176"/>
        <v>40.590000000000003</v>
      </c>
      <c r="R413" s="692">
        <f t="shared" si="176"/>
        <v>40.590000000000003</v>
      </c>
      <c r="S413" s="460"/>
      <c r="T413" s="460"/>
      <c r="U413" s="441"/>
    </row>
    <row r="414" spans="1:21" s="432" customFormat="1" ht="15.75">
      <c r="A414" s="433" t="s">
        <v>442</v>
      </c>
      <c r="B414" s="658" t="s">
        <v>105</v>
      </c>
      <c r="C414" s="434"/>
      <c r="D414" s="430" t="s">
        <v>890</v>
      </c>
      <c r="E414" s="435"/>
      <c r="F414" s="691"/>
      <c r="G414" s="691"/>
      <c r="H414" s="692">
        <f>0.15*H411</f>
        <v>12.176999999999998</v>
      </c>
      <c r="I414" s="692"/>
      <c r="J414" s="692">
        <f t="shared" ref="J414" si="177">0.15*J411</f>
        <v>4.0590000000000002</v>
      </c>
      <c r="K414" s="692">
        <f t="shared" ref="K414:R414" si="178">0.15*K411</f>
        <v>12.176999999999998</v>
      </c>
      <c r="L414" s="692">
        <f t="shared" si="178"/>
        <v>48.707999999999991</v>
      </c>
      <c r="M414" s="692">
        <f t="shared" si="178"/>
        <v>40.590000000000003</v>
      </c>
      <c r="N414" s="692">
        <f t="shared" si="178"/>
        <v>2.0295000000000001</v>
      </c>
      <c r="O414" s="692">
        <f t="shared" si="178"/>
        <v>6.0884999999999989</v>
      </c>
      <c r="P414" s="692"/>
      <c r="Q414" s="692">
        <f t="shared" si="178"/>
        <v>60.884999999999991</v>
      </c>
      <c r="R414" s="692">
        <f t="shared" si="178"/>
        <v>60.884999999999991</v>
      </c>
      <c r="S414" s="460"/>
      <c r="T414" s="460"/>
      <c r="U414" s="441"/>
    </row>
    <row r="415" spans="1:21" s="432" customFormat="1" ht="15.75">
      <c r="A415" s="433" t="s">
        <v>443</v>
      </c>
      <c r="B415" s="658" t="s">
        <v>142</v>
      </c>
      <c r="C415" s="434"/>
      <c r="D415" s="430" t="s">
        <v>890</v>
      </c>
      <c r="E415" s="435"/>
      <c r="F415" s="691"/>
      <c r="G415" s="691"/>
      <c r="H415" s="692">
        <f>0.25*H$411</f>
        <v>20.294999999999998</v>
      </c>
      <c r="I415" s="692"/>
      <c r="J415" s="692">
        <f>0.25*J$411</f>
        <v>6.7650000000000006</v>
      </c>
      <c r="K415" s="692">
        <f>0.25*K$411</f>
        <v>20.294999999999998</v>
      </c>
      <c r="L415" s="692">
        <f t="shared" ref="L415:R415" si="179">0.25*L$411</f>
        <v>81.179999999999993</v>
      </c>
      <c r="M415" s="692">
        <f t="shared" si="179"/>
        <v>67.650000000000006</v>
      </c>
      <c r="N415" s="692">
        <f t="shared" si="179"/>
        <v>3.3825000000000003</v>
      </c>
      <c r="O415" s="692">
        <f t="shared" si="179"/>
        <v>10.147499999999999</v>
      </c>
      <c r="P415" s="692"/>
      <c r="Q415" s="692">
        <f t="shared" si="179"/>
        <v>101.47499999999999</v>
      </c>
      <c r="R415" s="692">
        <f t="shared" si="179"/>
        <v>101.47499999999999</v>
      </c>
      <c r="S415" s="460"/>
      <c r="T415" s="460"/>
      <c r="U415" s="441"/>
    </row>
    <row r="416" spans="1:21" s="59" customFormat="1" ht="15.75">
      <c r="A416" s="426" t="s">
        <v>444</v>
      </c>
      <c r="B416" s="658" t="s">
        <v>150</v>
      </c>
      <c r="C416" s="396"/>
      <c r="D416" s="641" t="s">
        <v>890</v>
      </c>
      <c r="E416" s="397"/>
      <c r="F416" s="691"/>
      <c r="G416" s="691"/>
      <c r="H416" s="692">
        <f>0.15*H$411</f>
        <v>12.176999999999998</v>
      </c>
      <c r="I416" s="692"/>
      <c r="J416" s="692">
        <f>0.15*J$411</f>
        <v>4.0590000000000002</v>
      </c>
      <c r="K416" s="692">
        <f>0.15*K$411</f>
        <v>12.176999999999998</v>
      </c>
      <c r="L416" s="692">
        <f t="shared" ref="L416:R416" si="180">0.15*L$411</f>
        <v>48.707999999999991</v>
      </c>
      <c r="M416" s="692">
        <f t="shared" si="180"/>
        <v>40.590000000000003</v>
      </c>
      <c r="N416" s="692">
        <f t="shared" si="180"/>
        <v>2.0295000000000001</v>
      </c>
      <c r="O416" s="692">
        <f t="shared" si="180"/>
        <v>6.0884999999999989</v>
      </c>
      <c r="P416" s="692"/>
      <c r="Q416" s="692">
        <f t="shared" si="180"/>
        <v>60.884999999999991</v>
      </c>
      <c r="R416" s="692">
        <f t="shared" si="180"/>
        <v>60.884999999999991</v>
      </c>
      <c r="S416" s="465"/>
      <c r="T416" s="465"/>
      <c r="U416" s="454"/>
    </row>
    <row r="417" spans="1:21" s="369" customFormat="1" ht="15.75">
      <c r="A417" s="525" t="s">
        <v>445</v>
      </c>
      <c r="B417" s="695" t="s">
        <v>213</v>
      </c>
      <c r="C417" s="434"/>
      <c r="D417" s="430" t="s">
        <v>890</v>
      </c>
      <c r="E417" s="435"/>
      <c r="F417" s="691"/>
      <c r="G417" s="691"/>
      <c r="H417" s="692">
        <f>0.1*H$411</f>
        <v>8.1180000000000003</v>
      </c>
      <c r="I417" s="692"/>
      <c r="J417" s="692">
        <f t="shared" ref="J417:O417" si="181">0.1*J$411</f>
        <v>2.7060000000000004</v>
      </c>
      <c r="K417" s="692">
        <f t="shared" si="181"/>
        <v>8.1180000000000003</v>
      </c>
      <c r="L417" s="692">
        <f t="shared" si="181"/>
        <v>32.472000000000001</v>
      </c>
      <c r="M417" s="692">
        <f t="shared" si="181"/>
        <v>27.060000000000002</v>
      </c>
      <c r="N417" s="692">
        <f t="shared" si="181"/>
        <v>1.3530000000000002</v>
      </c>
      <c r="O417" s="692">
        <f t="shared" si="181"/>
        <v>4.0590000000000002</v>
      </c>
      <c r="P417" s="692"/>
      <c r="Q417" s="692">
        <f>0.1*Q$411</f>
        <v>40.590000000000003</v>
      </c>
      <c r="R417" s="692">
        <f>0.1*R$411</f>
        <v>40.590000000000003</v>
      </c>
      <c r="S417" s="463"/>
      <c r="T417" s="463"/>
      <c r="U417" s="441"/>
    </row>
    <row r="418" spans="1:21" s="59" customFormat="1" ht="15.75">
      <c r="A418" s="819" t="s">
        <v>446</v>
      </c>
      <c r="B418" s="695" t="s">
        <v>152</v>
      </c>
      <c r="C418" s="396"/>
      <c r="D418" s="641" t="s">
        <v>890</v>
      </c>
      <c r="E418" s="397"/>
      <c r="F418" s="691"/>
      <c r="G418" s="691"/>
      <c r="H418" s="692">
        <f>0.1*H411</f>
        <v>8.1180000000000003</v>
      </c>
      <c r="I418" s="692"/>
      <c r="J418" s="692">
        <f t="shared" ref="J418" si="182">0.1*J411</f>
        <v>2.7060000000000004</v>
      </c>
      <c r="K418" s="692">
        <f t="shared" ref="K418:R418" si="183">0.1*K411</f>
        <v>8.1180000000000003</v>
      </c>
      <c r="L418" s="692">
        <f t="shared" si="183"/>
        <v>32.472000000000001</v>
      </c>
      <c r="M418" s="692">
        <f t="shared" si="183"/>
        <v>27.060000000000002</v>
      </c>
      <c r="N418" s="692">
        <f t="shared" si="183"/>
        <v>1.3530000000000002</v>
      </c>
      <c r="O418" s="692">
        <f t="shared" si="183"/>
        <v>4.0590000000000002</v>
      </c>
      <c r="P418" s="692"/>
      <c r="Q418" s="692">
        <f t="shared" si="183"/>
        <v>40.590000000000003</v>
      </c>
      <c r="R418" s="692">
        <f t="shared" si="183"/>
        <v>40.590000000000003</v>
      </c>
      <c r="S418" s="462"/>
      <c r="T418" s="462"/>
      <c r="U418" s="454"/>
    </row>
    <row r="419" spans="1:21" s="284" customFormat="1" ht="15.75">
      <c r="A419" s="426"/>
      <c r="B419" s="656"/>
      <c r="C419" s="396"/>
      <c r="D419" s="641"/>
      <c r="E419" s="397"/>
      <c r="F419" s="672">
        <f t="shared" ref="F419:U419" si="184">F411-SUM(F412:F418)</f>
        <v>0</v>
      </c>
      <c r="G419" s="672">
        <f t="shared" si="184"/>
        <v>0</v>
      </c>
      <c r="H419" s="672">
        <f t="shared" si="184"/>
        <v>0</v>
      </c>
      <c r="I419" s="672">
        <f t="shared" si="184"/>
        <v>0</v>
      </c>
      <c r="J419" s="672">
        <f t="shared" si="184"/>
        <v>0</v>
      </c>
      <c r="K419" s="672">
        <f>K411-SUM(K412:K418)</f>
        <v>0</v>
      </c>
      <c r="L419" s="672">
        <f t="shared" si="184"/>
        <v>0</v>
      </c>
      <c r="M419" s="672">
        <f t="shared" si="184"/>
        <v>0</v>
      </c>
      <c r="N419" s="672">
        <f t="shared" si="184"/>
        <v>0</v>
      </c>
      <c r="O419" s="672">
        <f t="shared" si="184"/>
        <v>0</v>
      </c>
      <c r="P419" s="672"/>
      <c r="Q419" s="672">
        <f t="shared" si="184"/>
        <v>0</v>
      </c>
      <c r="R419" s="672">
        <f t="shared" si="184"/>
        <v>0</v>
      </c>
      <c r="S419" s="672">
        <f t="shared" si="184"/>
        <v>0</v>
      </c>
      <c r="T419" s="672">
        <f t="shared" si="184"/>
        <v>0</v>
      </c>
      <c r="U419" s="672">
        <f t="shared" si="184"/>
        <v>0</v>
      </c>
    </row>
    <row r="420" spans="1:21" s="59" customFormat="1" ht="15.75">
      <c r="A420" s="426"/>
      <c r="B420" s="656"/>
      <c r="C420" s="396"/>
      <c r="D420" s="641"/>
      <c r="E420" s="397"/>
      <c r="F420" s="683"/>
      <c r="G420" s="683"/>
      <c r="H420" s="683"/>
      <c r="I420" s="683"/>
      <c r="J420" s="683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</row>
    <row r="421" spans="1:21" s="401" customFormat="1" ht="15.75">
      <c r="A421" s="391" t="s">
        <v>447</v>
      </c>
      <c r="B421" s="821" t="s">
        <v>198</v>
      </c>
      <c r="C421" s="290"/>
      <c r="D421" s="398"/>
      <c r="E421" s="291"/>
      <c r="F421" s="669"/>
      <c r="G421" s="669"/>
      <c r="H421" s="820">
        <f>0.04*H$258</f>
        <v>54.120000000000005</v>
      </c>
      <c r="I421" s="669"/>
      <c r="J421" s="820">
        <f>0.04*J$258</f>
        <v>54.120000000000005</v>
      </c>
      <c r="K421" s="820">
        <f>0.04*K$258</f>
        <v>54.120000000000005</v>
      </c>
      <c r="L421" s="820">
        <f>0.05*L$258</f>
        <v>135.30000000000001</v>
      </c>
      <c r="M421" s="820">
        <f>0.1*M$258</f>
        <v>135.30000000000001</v>
      </c>
      <c r="N421" s="669"/>
      <c r="O421" s="669"/>
      <c r="P421" s="669"/>
      <c r="Q421" s="820">
        <f>0.005*Q$258</f>
        <v>20.294999999999998</v>
      </c>
      <c r="R421" s="820">
        <f>0.005*R$258</f>
        <v>20.294999999999998</v>
      </c>
      <c r="S421" s="669">
        <v>0</v>
      </c>
      <c r="T421" s="669">
        <v>0</v>
      </c>
      <c r="U421" s="669">
        <v>0</v>
      </c>
    </row>
    <row r="422" spans="1:21" s="432" customFormat="1" ht="15.75">
      <c r="A422" s="433" t="s">
        <v>448</v>
      </c>
      <c r="B422" s="658" t="s">
        <v>326</v>
      </c>
      <c r="C422" s="434"/>
      <c r="D422" s="430" t="s">
        <v>890</v>
      </c>
      <c r="E422" s="435"/>
      <c r="F422" s="683"/>
      <c r="G422" s="683"/>
      <c r="H422" s="692">
        <f>0.15*H$421</f>
        <v>8.1180000000000003</v>
      </c>
      <c r="I422" s="692"/>
      <c r="J422" s="692">
        <f>0.2*$J$421</f>
        <v>10.824000000000002</v>
      </c>
      <c r="K422" s="692">
        <f>0.15*K$421</f>
        <v>8.1180000000000003</v>
      </c>
      <c r="L422" s="692">
        <f t="shared" ref="L422:R422" si="185">0.15*L$421</f>
        <v>20.295000000000002</v>
      </c>
      <c r="M422" s="692">
        <f t="shared" si="185"/>
        <v>20.295000000000002</v>
      </c>
      <c r="N422" s="692"/>
      <c r="O422" s="692"/>
      <c r="P422" s="692"/>
      <c r="Q422" s="692">
        <f t="shared" si="185"/>
        <v>3.0442499999999995</v>
      </c>
      <c r="R422" s="692">
        <f t="shared" si="185"/>
        <v>3.0442499999999995</v>
      </c>
      <c r="S422" s="463"/>
      <c r="T422" s="463"/>
      <c r="U422" s="441"/>
    </row>
    <row r="423" spans="1:21" s="432" customFormat="1" ht="15.75">
      <c r="A423" s="525" t="s">
        <v>449</v>
      </c>
      <c r="B423" s="695" t="s">
        <v>135</v>
      </c>
      <c r="C423" s="434"/>
      <c r="D423" s="430" t="s">
        <v>890</v>
      </c>
      <c r="E423" s="435"/>
      <c r="F423" s="683"/>
      <c r="G423" s="683"/>
      <c r="H423" s="692">
        <f>0.1*H$421</f>
        <v>5.4120000000000008</v>
      </c>
      <c r="I423" s="692"/>
      <c r="J423" s="692">
        <f t="shared" ref="J423:J426" si="186">0.2*$J$421</f>
        <v>10.824000000000002</v>
      </c>
      <c r="K423" s="692">
        <f>0.1*K$421</f>
        <v>5.4120000000000008</v>
      </c>
      <c r="L423" s="692">
        <f t="shared" ref="L423:R424" si="187">0.1*L$421</f>
        <v>13.530000000000001</v>
      </c>
      <c r="M423" s="692">
        <f t="shared" si="187"/>
        <v>13.530000000000001</v>
      </c>
      <c r="N423" s="692"/>
      <c r="O423" s="692"/>
      <c r="P423" s="692"/>
      <c r="Q423" s="692">
        <f t="shared" si="187"/>
        <v>2.0295000000000001</v>
      </c>
      <c r="R423" s="692">
        <f t="shared" si="187"/>
        <v>2.0295000000000001</v>
      </c>
      <c r="S423" s="463"/>
      <c r="T423" s="463"/>
      <c r="U423" s="441"/>
    </row>
    <row r="424" spans="1:21" s="432" customFormat="1" ht="15.75">
      <c r="A424" s="525" t="s">
        <v>450</v>
      </c>
      <c r="B424" s="695" t="s">
        <v>105</v>
      </c>
      <c r="C424" s="434"/>
      <c r="D424" s="430" t="s">
        <v>890</v>
      </c>
      <c r="E424" s="435"/>
      <c r="F424" s="683"/>
      <c r="G424" s="683"/>
      <c r="H424" s="692">
        <f>0.1*H$421</f>
        <v>5.4120000000000008</v>
      </c>
      <c r="I424" s="692"/>
      <c r="J424" s="692">
        <f t="shared" si="186"/>
        <v>10.824000000000002</v>
      </c>
      <c r="K424" s="692">
        <f>0.1*K$421</f>
        <v>5.4120000000000008</v>
      </c>
      <c r="L424" s="692">
        <f t="shared" si="187"/>
        <v>13.530000000000001</v>
      </c>
      <c r="M424" s="692">
        <f t="shared" si="187"/>
        <v>13.530000000000001</v>
      </c>
      <c r="N424" s="692"/>
      <c r="O424" s="692"/>
      <c r="P424" s="692"/>
      <c r="Q424" s="692">
        <f t="shared" si="187"/>
        <v>2.0295000000000001</v>
      </c>
      <c r="R424" s="692">
        <f t="shared" si="187"/>
        <v>2.0295000000000001</v>
      </c>
      <c r="S424" s="460"/>
      <c r="T424" s="460"/>
      <c r="U424" s="441"/>
    </row>
    <row r="425" spans="1:21" s="59" customFormat="1" ht="15.75">
      <c r="A425" s="426" t="s">
        <v>451</v>
      </c>
      <c r="B425" s="658" t="s">
        <v>142</v>
      </c>
      <c r="C425" s="396"/>
      <c r="D425" s="641" t="s">
        <v>890</v>
      </c>
      <c r="E425" s="397"/>
      <c r="F425" s="683"/>
      <c r="G425" s="683"/>
      <c r="H425" s="692">
        <f>0.25*H$421</f>
        <v>13.530000000000001</v>
      </c>
      <c r="I425" s="692"/>
      <c r="J425" s="692">
        <f t="shared" si="186"/>
        <v>10.824000000000002</v>
      </c>
      <c r="K425" s="692">
        <f>0.25*K$421</f>
        <v>13.530000000000001</v>
      </c>
      <c r="L425" s="692">
        <f t="shared" ref="L425:R425" si="188">0.25*L$421</f>
        <v>33.825000000000003</v>
      </c>
      <c r="M425" s="692">
        <f t="shared" si="188"/>
        <v>33.825000000000003</v>
      </c>
      <c r="N425" s="692"/>
      <c r="O425" s="692"/>
      <c r="P425" s="692"/>
      <c r="Q425" s="692">
        <f t="shared" si="188"/>
        <v>5.0737499999999995</v>
      </c>
      <c r="R425" s="692">
        <f t="shared" si="188"/>
        <v>5.0737499999999995</v>
      </c>
      <c r="S425" s="327"/>
      <c r="T425" s="327"/>
      <c r="U425" s="454"/>
    </row>
    <row r="426" spans="1:21" s="59" customFormat="1" ht="15.75">
      <c r="A426" s="426" t="s">
        <v>452</v>
      </c>
      <c r="B426" s="658" t="s">
        <v>150</v>
      </c>
      <c r="C426" s="396"/>
      <c r="D426" s="641" t="s">
        <v>890</v>
      </c>
      <c r="E426" s="397"/>
      <c r="F426" s="683"/>
      <c r="G426" s="683"/>
      <c r="H426" s="692">
        <f>0.15*H$421</f>
        <v>8.1180000000000003</v>
      </c>
      <c r="I426" s="692"/>
      <c r="J426" s="692">
        <f t="shared" si="186"/>
        <v>10.824000000000002</v>
      </c>
      <c r="K426" s="692">
        <f>0.15*K$421</f>
        <v>8.1180000000000003</v>
      </c>
      <c r="L426" s="692">
        <f>0.15*L$421</f>
        <v>20.295000000000002</v>
      </c>
      <c r="M426" s="692">
        <f>0.15*M$421</f>
        <v>20.295000000000002</v>
      </c>
      <c r="N426" s="692"/>
      <c r="O426" s="692"/>
      <c r="P426" s="692"/>
      <c r="Q426" s="692">
        <f>0.15*Q$421</f>
        <v>3.0442499999999995</v>
      </c>
      <c r="R426" s="692">
        <f>0.15*R$421</f>
        <v>3.0442499999999995</v>
      </c>
      <c r="S426" s="462"/>
      <c r="T426" s="462"/>
      <c r="U426" s="454"/>
    </row>
    <row r="427" spans="1:21" s="432" customFormat="1" ht="15.75">
      <c r="A427" s="525" t="s">
        <v>453</v>
      </c>
      <c r="B427" s="695" t="s">
        <v>213</v>
      </c>
      <c r="C427" s="434"/>
      <c r="D427" s="430" t="s">
        <v>890</v>
      </c>
      <c r="E427" s="435"/>
      <c r="F427" s="683"/>
      <c r="G427" s="683"/>
      <c r="H427" s="692">
        <f>0.1*H$421</f>
        <v>5.4120000000000008</v>
      </c>
      <c r="I427" s="692"/>
      <c r="J427" s="692"/>
      <c r="K427" s="692">
        <f>0.1*K$421</f>
        <v>5.4120000000000008</v>
      </c>
      <c r="L427" s="692">
        <f t="shared" ref="L427:R427" si="189">0.1*L$421</f>
        <v>13.530000000000001</v>
      </c>
      <c r="M427" s="692">
        <f t="shared" si="189"/>
        <v>13.530000000000001</v>
      </c>
      <c r="N427" s="692"/>
      <c r="O427" s="692"/>
      <c r="P427" s="692"/>
      <c r="Q427" s="692">
        <f t="shared" si="189"/>
        <v>2.0295000000000001</v>
      </c>
      <c r="R427" s="692">
        <f t="shared" si="189"/>
        <v>2.0295000000000001</v>
      </c>
      <c r="S427" s="463"/>
      <c r="T427" s="463"/>
      <c r="U427" s="441"/>
    </row>
    <row r="428" spans="1:21" s="59" customFormat="1" ht="15.75">
      <c r="A428" s="426" t="s">
        <v>454</v>
      </c>
      <c r="B428" s="658" t="s">
        <v>152</v>
      </c>
      <c r="C428" s="396"/>
      <c r="D428" s="641" t="s">
        <v>890</v>
      </c>
      <c r="E428" s="397"/>
      <c r="F428" s="683"/>
      <c r="G428" s="683"/>
      <c r="H428" s="692">
        <f>0.15*H$421</f>
        <v>8.1180000000000003</v>
      </c>
      <c r="I428" s="692"/>
      <c r="J428" s="692"/>
      <c r="K428" s="692">
        <f>0.15*K$421</f>
        <v>8.1180000000000003</v>
      </c>
      <c r="L428" s="692">
        <f>0.15*L$421</f>
        <v>20.295000000000002</v>
      </c>
      <c r="M428" s="692">
        <f>0.15*M$421</f>
        <v>20.295000000000002</v>
      </c>
      <c r="N428" s="692"/>
      <c r="O428" s="692"/>
      <c r="P428" s="692"/>
      <c r="Q428" s="692">
        <f>0.15*Q$421</f>
        <v>3.0442499999999995</v>
      </c>
      <c r="R428" s="692">
        <f>0.15*R$421</f>
        <v>3.0442499999999995</v>
      </c>
      <c r="S428" s="462"/>
      <c r="T428" s="462"/>
      <c r="U428" s="454"/>
    </row>
    <row r="429" spans="1:21" s="284" customFormat="1" ht="15.75">
      <c r="A429" s="426"/>
      <c r="B429" s="656"/>
      <c r="C429" s="396"/>
      <c r="D429" s="641"/>
      <c r="E429" s="397"/>
      <c r="F429" s="672">
        <f t="shared" ref="F429:U429" si="190">F421-SUM(F422:F428)</f>
        <v>0</v>
      </c>
      <c r="G429" s="672">
        <f t="shared" si="190"/>
        <v>0</v>
      </c>
      <c r="H429" s="672">
        <f t="shared" si="190"/>
        <v>0</v>
      </c>
      <c r="I429" s="672">
        <f t="shared" si="190"/>
        <v>0</v>
      </c>
      <c r="J429" s="672">
        <f t="shared" si="190"/>
        <v>0</v>
      </c>
      <c r="K429" s="672">
        <f>K421-SUM(K422:K428)</f>
        <v>0</v>
      </c>
      <c r="L429" s="672">
        <f t="shared" si="190"/>
        <v>0</v>
      </c>
      <c r="M429" s="672">
        <f t="shared" si="190"/>
        <v>0</v>
      </c>
      <c r="N429" s="672">
        <f t="shared" si="190"/>
        <v>0</v>
      </c>
      <c r="O429" s="672">
        <f t="shared" si="190"/>
        <v>0</v>
      </c>
      <c r="P429" s="672"/>
      <c r="Q429" s="672">
        <f t="shared" si="190"/>
        <v>0</v>
      </c>
      <c r="R429" s="672">
        <f t="shared" si="190"/>
        <v>0</v>
      </c>
      <c r="S429" s="672">
        <f t="shared" si="190"/>
        <v>0</v>
      </c>
      <c r="T429" s="672">
        <f t="shared" si="190"/>
        <v>0</v>
      </c>
      <c r="U429" s="672">
        <f t="shared" si="190"/>
        <v>0</v>
      </c>
    </row>
    <row r="430" spans="1:21" s="59" customFormat="1" ht="15.75">
      <c r="A430" s="769"/>
      <c r="B430" s="656"/>
      <c r="C430" s="404"/>
      <c r="D430" s="641"/>
      <c r="E430" s="405"/>
      <c r="F430" s="690"/>
      <c r="G430" s="690"/>
      <c r="H430" s="690"/>
      <c r="I430" s="690"/>
      <c r="J430" s="690"/>
      <c r="K430" s="690"/>
      <c r="L430" s="690"/>
      <c r="M430" s="690"/>
      <c r="N430" s="690"/>
      <c r="O430" s="690"/>
      <c r="P430" s="690"/>
      <c r="Q430" s="690"/>
      <c r="R430" s="690"/>
      <c r="S430" s="690"/>
      <c r="T430" s="690"/>
      <c r="U430" s="690"/>
    </row>
    <row r="431" spans="1:21" s="288" customFormat="1" ht="15.75">
      <c r="A431" s="417" t="s">
        <v>455</v>
      </c>
      <c r="B431" s="604" t="s">
        <v>203</v>
      </c>
      <c r="C431" s="427"/>
      <c r="D431" s="398"/>
      <c r="E431" s="399"/>
      <c r="F431" s="666">
        <f>0.01*F$258</f>
        <v>30.667999999999999</v>
      </c>
      <c r="G431" s="666">
        <f>0.02*G$258</f>
        <v>27.060000000000002</v>
      </c>
      <c r="H431" s="668">
        <f>0.005*H$258</f>
        <v>6.7650000000000006</v>
      </c>
      <c r="I431" s="666"/>
      <c r="J431" s="666"/>
      <c r="K431" s="668">
        <f>0.005*K$258</f>
        <v>6.7650000000000006</v>
      </c>
      <c r="L431" s="668">
        <f>0.05*L$258</f>
        <v>135.30000000000001</v>
      </c>
      <c r="M431" s="668">
        <f>0.05*M$258</f>
        <v>67.650000000000006</v>
      </c>
      <c r="N431" s="666"/>
      <c r="O431" s="666"/>
      <c r="P431" s="666"/>
      <c r="Q431" s="668">
        <f>0.005*Q$258</f>
        <v>20.294999999999998</v>
      </c>
      <c r="R431" s="668">
        <f>0.005*R$258</f>
        <v>20.294999999999998</v>
      </c>
      <c r="S431" s="666">
        <v>0</v>
      </c>
      <c r="T431" s="666">
        <v>0</v>
      </c>
      <c r="U431" s="666">
        <v>0</v>
      </c>
    </row>
    <row r="432" spans="1:21" s="432" customFormat="1" ht="15.75">
      <c r="A432" s="657" t="s">
        <v>456</v>
      </c>
      <c r="B432" s="658" t="s">
        <v>326</v>
      </c>
      <c r="C432" s="429"/>
      <c r="D432" s="430" t="s">
        <v>890</v>
      </c>
      <c r="E432" s="431"/>
      <c r="F432" s="692">
        <f t="shared" ref="F432:G435" si="191">0.1*F$431</f>
        <v>3.0668000000000002</v>
      </c>
      <c r="G432" s="692">
        <f t="shared" si="191"/>
        <v>2.7060000000000004</v>
      </c>
      <c r="H432" s="692">
        <f t="shared" ref="H432:R433" si="192">0.1*H$431</f>
        <v>0.6765000000000001</v>
      </c>
      <c r="I432" s="692"/>
      <c r="J432" s="692"/>
      <c r="K432" s="692">
        <f t="shared" si="192"/>
        <v>0.6765000000000001</v>
      </c>
      <c r="L432" s="692">
        <f t="shared" si="192"/>
        <v>13.530000000000001</v>
      </c>
      <c r="M432" s="692">
        <f t="shared" si="192"/>
        <v>6.7650000000000006</v>
      </c>
      <c r="N432" s="692"/>
      <c r="O432" s="692"/>
      <c r="P432" s="692"/>
      <c r="Q432" s="692">
        <f t="shared" si="192"/>
        <v>2.0295000000000001</v>
      </c>
      <c r="R432" s="692">
        <f t="shared" si="192"/>
        <v>2.0295000000000001</v>
      </c>
      <c r="S432" s="689"/>
      <c r="T432" s="689"/>
      <c r="U432" s="441"/>
    </row>
    <row r="433" spans="1:21" s="432" customFormat="1" ht="15.75">
      <c r="A433" s="526" t="s">
        <v>457</v>
      </c>
      <c r="B433" s="695" t="s">
        <v>135</v>
      </c>
      <c r="C433" s="429"/>
      <c r="D433" s="430" t="s">
        <v>890</v>
      </c>
      <c r="E433" s="431"/>
      <c r="F433" s="692">
        <f t="shared" si="191"/>
        <v>3.0668000000000002</v>
      </c>
      <c r="G433" s="692">
        <f t="shared" si="191"/>
        <v>2.7060000000000004</v>
      </c>
      <c r="H433" s="692">
        <f t="shared" si="192"/>
        <v>0.6765000000000001</v>
      </c>
      <c r="I433" s="692"/>
      <c r="J433" s="692"/>
      <c r="K433" s="692">
        <f t="shared" si="192"/>
        <v>0.6765000000000001</v>
      </c>
      <c r="L433" s="692">
        <f t="shared" si="192"/>
        <v>13.530000000000001</v>
      </c>
      <c r="M433" s="692">
        <f t="shared" si="192"/>
        <v>6.7650000000000006</v>
      </c>
      <c r="N433" s="692"/>
      <c r="O433" s="692"/>
      <c r="P433" s="692"/>
      <c r="Q433" s="692">
        <f t="shared" si="192"/>
        <v>2.0295000000000001</v>
      </c>
      <c r="R433" s="692">
        <f t="shared" si="192"/>
        <v>2.0295000000000001</v>
      </c>
      <c r="S433" s="689"/>
      <c r="T433" s="689"/>
      <c r="U433" s="441"/>
    </row>
    <row r="434" spans="1:21" s="432" customFormat="1" ht="15.75">
      <c r="A434" s="526" t="s">
        <v>458</v>
      </c>
      <c r="B434" s="695" t="s">
        <v>213</v>
      </c>
      <c r="C434" s="429"/>
      <c r="D434" s="430" t="s">
        <v>890</v>
      </c>
      <c r="E434" s="431"/>
      <c r="F434" s="692">
        <f t="shared" si="191"/>
        <v>3.0668000000000002</v>
      </c>
      <c r="G434" s="692">
        <f t="shared" si="191"/>
        <v>2.7060000000000004</v>
      </c>
      <c r="H434" s="692">
        <f>0.1*H$431</f>
        <v>0.6765000000000001</v>
      </c>
      <c r="I434" s="692"/>
      <c r="J434" s="692"/>
      <c r="K434" s="692">
        <f t="shared" ref="K434:M435" si="193">0.1*K$431</f>
        <v>0.6765000000000001</v>
      </c>
      <c r="L434" s="692">
        <f t="shared" si="193"/>
        <v>13.530000000000001</v>
      </c>
      <c r="M434" s="692">
        <f t="shared" si="193"/>
        <v>6.7650000000000006</v>
      </c>
      <c r="N434" s="692"/>
      <c r="O434" s="692"/>
      <c r="P434" s="692"/>
      <c r="Q434" s="692">
        <f>0.1*Q$431</f>
        <v>2.0295000000000001</v>
      </c>
      <c r="R434" s="692">
        <f>0.1*R$431</f>
        <v>2.0295000000000001</v>
      </c>
      <c r="S434" s="689"/>
      <c r="T434" s="689"/>
      <c r="U434" s="441"/>
    </row>
    <row r="435" spans="1:21" s="432" customFormat="1" ht="15.75">
      <c r="A435" s="657" t="s">
        <v>459</v>
      </c>
      <c r="B435" s="658" t="s">
        <v>105</v>
      </c>
      <c r="C435" s="434"/>
      <c r="D435" s="430" t="s">
        <v>890</v>
      </c>
      <c r="E435" s="435"/>
      <c r="F435" s="692">
        <f t="shared" si="191"/>
        <v>3.0668000000000002</v>
      </c>
      <c r="G435" s="692">
        <f t="shared" si="191"/>
        <v>2.7060000000000004</v>
      </c>
      <c r="H435" s="692">
        <f>0.1*H$431</f>
        <v>0.6765000000000001</v>
      </c>
      <c r="I435" s="692"/>
      <c r="J435" s="692"/>
      <c r="K435" s="692">
        <f t="shared" si="193"/>
        <v>0.6765000000000001</v>
      </c>
      <c r="L435" s="692">
        <f t="shared" si="193"/>
        <v>13.530000000000001</v>
      </c>
      <c r="M435" s="692">
        <f t="shared" si="193"/>
        <v>6.7650000000000006</v>
      </c>
      <c r="N435" s="692"/>
      <c r="O435" s="692"/>
      <c r="P435" s="692"/>
      <c r="Q435" s="692"/>
      <c r="R435" s="692"/>
      <c r="S435" s="689"/>
      <c r="T435" s="689"/>
      <c r="U435" s="441"/>
    </row>
    <row r="436" spans="1:21" s="432" customFormat="1" ht="15.75">
      <c r="A436" s="657" t="s">
        <v>460</v>
      </c>
      <c r="B436" s="658" t="s">
        <v>142</v>
      </c>
      <c r="C436" s="434"/>
      <c r="D436" s="430" t="s">
        <v>890</v>
      </c>
      <c r="E436" s="435"/>
      <c r="F436" s="692">
        <f>0.4*F$431</f>
        <v>12.267200000000001</v>
      </c>
      <c r="G436" s="692">
        <f>0.4*G$431</f>
        <v>10.824000000000002</v>
      </c>
      <c r="H436" s="692">
        <f>0.4*H$431</f>
        <v>2.7060000000000004</v>
      </c>
      <c r="I436" s="692"/>
      <c r="J436" s="692"/>
      <c r="K436" s="692">
        <f>0.4*K$431</f>
        <v>2.7060000000000004</v>
      </c>
      <c r="L436" s="692">
        <f>0.4*L$431</f>
        <v>54.120000000000005</v>
      </c>
      <c r="M436" s="692">
        <f>0.4*M$431</f>
        <v>27.060000000000002</v>
      </c>
      <c r="N436" s="692"/>
      <c r="O436" s="692"/>
      <c r="P436" s="692"/>
      <c r="Q436" s="692">
        <f>0.5*Q$431</f>
        <v>10.147499999999999</v>
      </c>
      <c r="R436" s="692">
        <f>0.5*R$431</f>
        <v>10.147499999999999</v>
      </c>
      <c r="S436" s="689"/>
      <c r="T436" s="689"/>
      <c r="U436" s="441"/>
    </row>
    <row r="437" spans="1:21" s="432" customFormat="1" ht="15.75">
      <c r="A437" s="657" t="s">
        <v>461</v>
      </c>
      <c r="B437" s="658" t="s">
        <v>150</v>
      </c>
      <c r="C437" s="429"/>
      <c r="D437" s="430" t="s">
        <v>890</v>
      </c>
      <c r="E437" s="431"/>
      <c r="F437" s="692">
        <f>0.1*F$431</f>
        <v>3.0668000000000002</v>
      </c>
      <c r="G437" s="692">
        <f t="shared" ref="G437:R437" si="194">0.1*G$431</f>
        <v>2.7060000000000004</v>
      </c>
      <c r="H437" s="692">
        <f t="shared" si="194"/>
        <v>0.6765000000000001</v>
      </c>
      <c r="I437" s="692"/>
      <c r="J437" s="692"/>
      <c r="K437" s="692">
        <f t="shared" si="194"/>
        <v>0.6765000000000001</v>
      </c>
      <c r="L437" s="692">
        <f t="shared" si="194"/>
        <v>13.530000000000001</v>
      </c>
      <c r="M437" s="692">
        <f t="shared" si="194"/>
        <v>6.7650000000000006</v>
      </c>
      <c r="N437" s="692"/>
      <c r="O437" s="692"/>
      <c r="P437" s="692"/>
      <c r="Q437" s="692">
        <f t="shared" si="194"/>
        <v>2.0295000000000001</v>
      </c>
      <c r="R437" s="692">
        <f t="shared" si="194"/>
        <v>2.0295000000000001</v>
      </c>
      <c r="S437" s="689"/>
      <c r="T437" s="689"/>
      <c r="U437" s="441"/>
    </row>
    <row r="438" spans="1:21" s="432" customFormat="1" ht="15.75">
      <c r="A438" s="526" t="s">
        <v>462</v>
      </c>
      <c r="B438" s="695" t="s">
        <v>101</v>
      </c>
      <c r="C438" s="429"/>
      <c r="D438" s="430" t="s">
        <v>890</v>
      </c>
      <c r="E438" s="431"/>
      <c r="F438" s="692">
        <f>0.1*F$431</f>
        <v>3.0668000000000002</v>
      </c>
      <c r="G438" s="692">
        <f>0.1*G$431</f>
        <v>2.7060000000000004</v>
      </c>
      <c r="H438" s="692">
        <f>0.1*H$431</f>
        <v>0.6765000000000001</v>
      </c>
      <c r="I438" s="692"/>
      <c r="J438" s="692"/>
      <c r="K438" s="692">
        <f>0.1*K$431</f>
        <v>0.6765000000000001</v>
      </c>
      <c r="L438" s="692">
        <f>0.1*L$431</f>
        <v>13.530000000000001</v>
      </c>
      <c r="M438" s="692">
        <f>0.1*M$431</f>
        <v>6.7650000000000006</v>
      </c>
      <c r="N438" s="692"/>
      <c r="O438" s="692"/>
      <c r="P438" s="692"/>
      <c r="Q438" s="671">
        <f>0.1*Q431</f>
        <v>2.0295000000000001</v>
      </c>
      <c r="R438" s="671">
        <f>0.1*R431</f>
        <v>2.0295000000000001</v>
      </c>
      <c r="S438" s="689"/>
      <c r="T438" s="689"/>
      <c r="U438" s="441"/>
    </row>
    <row r="439" spans="1:21" s="284" customFormat="1" ht="15.75">
      <c r="A439" s="769"/>
      <c r="B439" s="656"/>
      <c r="C439" s="404"/>
      <c r="D439" s="641"/>
      <c r="E439" s="405"/>
      <c r="F439" s="672">
        <f t="shared" ref="F439:U439" si="195">F431-SUM(F432:F438)</f>
        <v>0</v>
      </c>
      <c r="G439" s="672">
        <f t="shared" si="195"/>
        <v>0</v>
      </c>
      <c r="H439" s="672">
        <f t="shared" si="195"/>
        <v>0</v>
      </c>
      <c r="I439" s="672">
        <f t="shared" si="195"/>
        <v>0</v>
      </c>
      <c r="J439" s="672">
        <f t="shared" si="195"/>
        <v>0</v>
      </c>
      <c r="K439" s="672">
        <f>K431-SUM(K432:K438)</f>
        <v>0</v>
      </c>
      <c r="L439" s="672">
        <f t="shared" si="195"/>
        <v>0</v>
      </c>
      <c r="M439" s="672">
        <f t="shared" si="195"/>
        <v>0</v>
      </c>
      <c r="N439" s="672">
        <f t="shared" si="195"/>
        <v>0</v>
      </c>
      <c r="O439" s="672">
        <f t="shared" si="195"/>
        <v>0</v>
      </c>
      <c r="P439" s="672"/>
      <c r="Q439" s="672">
        <f t="shared" si="195"/>
        <v>0</v>
      </c>
      <c r="R439" s="672">
        <f t="shared" si="195"/>
        <v>0</v>
      </c>
      <c r="S439" s="672">
        <f t="shared" si="195"/>
        <v>0</v>
      </c>
      <c r="T439" s="672">
        <f t="shared" si="195"/>
        <v>0</v>
      </c>
      <c r="U439" s="672">
        <f t="shared" si="195"/>
        <v>0</v>
      </c>
    </row>
    <row r="440" spans="1:21" s="59" customFormat="1" ht="15.75">
      <c r="A440" s="769"/>
      <c r="B440" s="656"/>
      <c r="C440" s="404"/>
      <c r="D440" s="641"/>
      <c r="E440" s="405"/>
      <c r="F440" s="690"/>
      <c r="G440" s="690"/>
      <c r="H440" s="690"/>
      <c r="I440" s="690"/>
      <c r="J440" s="690"/>
      <c r="K440" s="690"/>
      <c r="L440" s="690"/>
      <c r="M440" s="690"/>
      <c r="N440" s="690"/>
      <c r="O440" s="690"/>
      <c r="P440" s="690"/>
      <c r="Q440" s="690"/>
      <c r="R440" s="690"/>
      <c r="S440" s="690"/>
      <c r="T440" s="690"/>
      <c r="U440" s="690"/>
    </row>
    <row r="441" spans="1:21" s="288" customFormat="1" ht="15.75">
      <c r="A441" s="417" t="s">
        <v>463</v>
      </c>
      <c r="B441" s="693" t="s">
        <v>208</v>
      </c>
      <c r="C441" s="427"/>
      <c r="D441" s="398"/>
      <c r="E441" s="399"/>
      <c r="F441" s="666"/>
      <c r="G441" s="666"/>
      <c r="H441" s="668">
        <f>0.01*H$258</f>
        <v>13.530000000000001</v>
      </c>
      <c r="I441" s="666"/>
      <c r="J441" s="666"/>
      <c r="K441" s="668">
        <f>0.01*K$258</f>
        <v>13.530000000000001</v>
      </c>
      <c r="L441" s="668">
        <f>0.01*L$258</f>
        <v>27.060000000000002</v>
      </c>
      <c r="M441" s="668">
        <f>0.1*M$258</f>
        <v>135.30000000000001</v>
      </c>
      <c r="N441" s="666"/>
      <c r="O441" s="666"/>
      <c r="P441" s="668"/>
      <c r="Q441" s="668"/>
      <c r="R441" s="666"/>
      <c r="S441" s="666">
        <v>0</v>
      </c>
      <c r="T441" s="666">
        <v>0</v>
      </c>
      <c r="U441" s="666">
        <v>0</v>
      </c>
    </row>
    <row r="442" spans="1:21" s="59" customFormat="1" ht="15.75">
      <c r="A442" s="769" t="s">
        <v>464</v>
      </c>
      <c r="B442" s="658" t="s">
        <v>326</v>
      </c>
      <c r="C442" s="404"/>
      <c r="D442" s="641" t="s">
        <v>890</v>
      </c>
      <c r="E442" s="405"/>
      <c r="F442" s="692"/>
      <c r="G442" s="692"/>
      <c r="H442" s="692">
        <f>0.25*H441</f>
        <v>3.3825000000000003</v>
      </c>
      <c r="I442" s="692"/>
      <c r="J442" s="692"/>
      <c r="K442" s="692">
        <f t="shared" ref="K442:M442" si="196">0.25*K441</f>
        <v>3.3825000000000003</v>
      </c>
      <c r="L442" s="692">
        <f t="shared" si="196"/>
        <v>6.7650000000000006</v>
      </c>
      <c r="M442" s="692">
        <f t="shared" si="196"/>
        <v>33.825000000000003</v>
      </c>
      <c r="N442" s="692"/>
      <c r="O442" s="692"/>
      <c r="P442" s="692"/>
      <c r="Q442" s="692"/>
      <c r="R442" s="692"/>
      <c r="S442" s="689"/>
      <c r="T442" s="689"/>
      <c r="U442" s="457"/>
    </row>
    <row r="443" spans="1:21" s="432" customFormat="1" ht="15.75">
      <c r="A443" s="526" t="s">
        <v>465</v>
      </c>
      <c r="B443" s="695" t="s">
        <v>135</v>
      </c>
      <c r="C443" s="429"/>
      <c r="D443" s="430" t="s">
        <v>890</v>
      </c>
      <c r="E443" s="431"/>
      <c r="F443" s="692"/>
      <c r="G443" s="692"/>
      <c r="H443" s="692">
        <f t="shared" ref="H443:M446" si="197">0.1*H$441</f>
        <v>1.3530000000000002</v>
      </c>
      <c r="I443" s="692"/>
      <c r="J443" s="692"/>
      <c r="K443" s="692">
        <f t="shared" si="197"/>
        <v>1.3530000000000002</v>
      </c>
      <c r="L443" s="692">
        <f t="shared" si="197"/>
        <v>2.7060000000000004</v>
      </c>
      <c r="M443" s="692">
        <f t="shared" si="197"/>
        <v>13.530000000000001</v>
      </c>
      <c r="N443" s="692"/>
      <c r="O443" s="692"/>
      <c r="P443" s="692"/>
      <c r="Q443" s="692"/>
      <c r="R443" s="692"/>
      <c r="S443" s="689"/>
      <c r="T443" s="689"/>
      <c r="U443" s="437"/>
    </row>
    <row r="444" spans="1:21" s="432" customFormat="1" ht="15.75">
      <c r="A444" s="657" t="s">
        <v>466</v>
      </c>
      <c r="B444" s="658" t="s">
        <v>105</v>
      </c>
      <c r="C444" s="434"/>
      <c r="D444" s="430" t="s">
        <v>890</v>
      </c>
      <c r="E444" s="435"/>
      <c r="F444" s="692"/>
      <c r="G444" s="692"/>
      <c r="H444" s="692">
        <f>0.15*H441</f>
        <v>2.0295000000000001</v>
      </c>
      <c r="I444" s="692"/>
      <c r="J444" s="692"/>
      <c r="K444" s="692">
        <f t="shared" ref="K444:M444" si="198">0.15*K441</f>
        <v>2.0295000000000001</v>
      </c>
      <c r="L444" s="692">
        <f t="shared" si="198"/>
        <v>4.0590000000000002</v>
      </c>
      <c r="M444" s="692">
        <f t="shared" si="198"/>
        <v>20.295000000000002</v>
      </c>
      <c r="N444" s="692"/>
      <c r="O444" s="692"/>
      <c r="P444" s="692"/>
      <c r="Q444" s="692"/>
      <c r="R444" s="692"/>
      <c r="S444" s="689"/>
      <c r="T444" s="689"/>
      <c r="U444" s="437"/>
    </row>
    <row r="445" spans="1:21" s="59" customFormat="1" ht="15.75">
      <c r="A445" s="769" t="s">
        <v>467</v>
      </c>
      <c r="B445" s="658" t="s">
        <v>142</v>
      </c>
      <c r="C445" s="396"/>
      <c r="D445" s="641" t="s">
        <v>890</v>
      </c>
      <c r="E445" s="397"/>
      <c r="F445" s="692"/>
      <c r="G445" s="692"/>
      <c r="H445" s="692">
        <f>0.2*H$441</f>
        <v>2.7060000000000004</v>
      </c>
      <c r="I445" s="692"/>
      <c r="J445" s="692"/>
      <c r="K445" s="692">
        <f>0.2*K$441</f>
        <v>2.7060000000000004</v>
      </c>
      <c r="L445" s="692">
        <f>0.2*L$441</f>
        <v>5.4120000000000008</v>
      </c>
      <c r="M445" s="692">
        <f>0.2*M$441</f>
        <v>27.060000000000002</v>
      </c>
      <c r="N445" s="692"/>
      <c r="O445" s="692"/>
      <c r="P445" s="692"/>
      <c r="Q445" s="692"/>
      <c r="R445" s="692"/>
      <c r="S445" s="453"/>
      <c r="T445" s="453"/>
      <c r="U445" s="457"/>
    </row>
    <row r="446" spans="1:21" s="59" customFormat="1" ht="15.75">
      <c r="A446" s="769" t="s">
        <v>468</v>
      </c>
      <c r="B446" s="658" t="s">
        <v>150</v>
      </c>
      <c r="C446" s="404"/>
      <c r="D446" s="641" t="s">
        <v>890</v>
      </c>
      <c r="E446" s="405"/>
      <c r="F446" s="692"/>
      <c r="G446" s="692"/>
      <c r="H446" s="692">
        <f t="shared" si="197"/>
        <v>1.3530000000000002</v>
      </c>
      <c r="I446" s="692"/>
      <c r="J446" s="692"/>
      <c r="K446" s="692">
        <f t="shared" si="197"/>
        <v>1.3530000000000002</v>
      </c>
      <c r="L446" s="692">
        <f t="shared" si="197"/>
        <v>2.7060000000000004</v>
      </c>
      <c r="M446" s="692">
        <f t="shared" si="197"/>
        <v>13.530000000000001</v>
      </c>
      <c r="N446" s="692"/>
      <c r="O446" s="692"/>
      <c r="P446" s="692"/>
      <c r="Q446" s="692"/>
      <c r="R446" s="692"/>
      <c r="S446" s="689"/>
      <c r="T446" s="689"/>
      <c r="U446" s="457"/>
    </row>
    <row r="447" spans="1:21" s="432" customFormat="1" ht="15.75">
      <c r="A447" s="526" t="s">
        <v>469</v>
      </c>
      <c r="B447" s="695" t="s">
        <v>213</v>
      </c>
      <c r="C447" s="429"/>
      <c r="D447" s="430" t="s">
        <v>890</v>
      </c>
      <c r="E447" s="431"/>
      <c r="F447" s="692"/>
      <c r="G447" s="692"/>
      <c r="H447" s="692">
        <f>0.1*H441</f>
        <v>1.3530000000000002</v>
      </c>
      <c r="I447" s="692"/>
      <c r="J447" s="692"/>
      <c r="K447" s="692">
        <f t="shared" ref="K447:M447" si="199">0.1*K441</f>
        <v>1.3530000000000002</v>
      </c>
      <c r="L447" s="692">
        <f t="shared" si="199"/>
        <v>2.7060000000000004</v>
      </c>
      <c r="M447" s="692">
        <f t="shared" si="199"/>
        <v>13.530000000000001</v>
      </c>
      <c r="N447" s="692"/>
      <c r="O447" s="692"/>
      <c r="P447" s="692"/>
      <c r="Q447" s="692"/>
      <c r="R447" s="692"/>
      <c r="S447" s="689"/>
      <c r="T447" s="689"/>
      <c r="U447" s="437"/>
    </row>
    <row r="448" spans="1:21" s="59" customFormat="1" ht="15.75">
      <c r="A448" s="526" t="s">
        <v>470</v>
      </c>
      <c r="B448" s="695" t="s">
        <v>152</v>
      </c>
      <c r="C448" s="404"/>
      <c r="D448" s="641" t="s">
        <v>890</v>
      </c>
      <c r="E448" s="405"/>
      <c r="F448" s="692"/>
      <c r="G448" s="692"/>
      <c r="H448" s="692">
        <f>0.1*H441</f>
        <v>1.3530000000000002</v>
      </c>
      <c r="I448" s="692"/>
      <c r="J448" s="692"/>
      <c r="K448" s="692">
        <f t="shared" ref="K448:M448" si="200">0.1*K441</f>
        <v>1.3530000000000002</v>
      </c>
      <c r="L448" s="692">
        <f t="shared" si="200"/>
        <v>2.7060000000000004</v>
      </c>
      <c r="M448" s="692">
        <f t="shared" si="200"/>
        <v>13.530000000000001</v>
      </c>
      <c r="N448" s="692"/>
      <c r="O448" s="692"/>
      <c r="P448" s="692"/>
      <c r="Q448" s="692"/>
      <c r="R448" s="692"/>
      <c r="S448" s="689"/>
      <c r="T448" s="689"/>
      <c r="U448" s="457"/>
    </row>
    <row r="449" spans="1:21" s="284" customFormat="1" ht="15.75">
      <c r="A449" s="769"/>
      <c r="B449" s="656"/>
      <c r="C449" s="404"/>
      <c r="D449" s="641"/>
      <c r="E449" s="405"/>
      <c r="F449" s="672">
        <f t="shared" ref="F449:U449" si="201">F441-SUM(F442:F448)</f>
        <v>0</v>
      </c>
      <c r="G449" s="672">
        <f t="shared" si="201"/>
        <v>0</v>
      </c>
      <c r="H449" s="672">
        <f t="shared" si="201"/>
        <v>0</v>
      </c>
      <c r="I449" s="672">
        <f t="shared" si="201"/>
        <v>0</v>
      </c>
      <c r="J449" s="672">
        <f t="shared" si="201"/>
        <v>0</v>
      </c>
      <c r="K449" s="672">
        <f>K441-SUM(K442:K448)</f>
        <v>0</v>
      </c>
      <c r="L449" s="672">
        <f t="shared" si="201"/>
        <v>0</v>
      </c>
      <c r="M449" s="672">
        <f t="shared" si="201"/>
        <v>0</v>
      </c>
      <c r="N449" s="672">
        <f t="shared" si="201"/>
        <v>0</v>
      </c>
      <c r="O449" s="672">
        <f t="shared" si="201"/>
        <v>0</v>
      </c>
      <c r="P449" s="672">
        <f>P441-SUM(P442:P448)</f>
        <v>0</v>
      </c>
      <c r="Q449" s="672">
        <f t="shared" si="201"/>
        <v>0</v>
      </c>
      <c r="R449" s="672">
        <f t="shared" si="201"/>
        <v>0</v>
      </c>
      <c r="S449" s="672">
        <f t="shared" si="201"/>
        <v>0</v>
      </c>
      <c r="T449" s="672">
        <f t="shared" si="201"/>
        <v>0</v>
      </c>
      <c r="U449" s="672">
        <f t="shared" si="201"/>
        <v>0</v>
      </c>
    </row>
    <row r="450" spans="1:21" s="59" customFormat="1" ht="15.75">
      <c r="A450" s="769"/>
      <c r="B450" s="656"/>
      <c r="C450" s="404"/>
      <c r="D450" s="641"/>
      <c r="E450" s="405"/>
      <c r="F450" s="690"/>
      <c r="G450" s="690"/>
      <c r="H450" s="690"/>
      <c r="I450" s="690"/>
      <c r="J450" s="690"/>
      <c r="K450" s="690"/>
      <c r="L450" s="690"/>
      <c r="M450" s="690"/>
      <c r="N450" s="690"/>
      <c r="O450" s="690"/>
      <c r="P450" s="690"/>
      <c r="Q450" s="690"/>
      <c r="R450" s="690"/>
      <c r="S450" s="690"/>
      <c r="T450" s="690"/>
      <c r="U450" s="690"/>
    </row>
    <row r="451" spans="1:21" s="288" customFormat="1" ht="15.75">
      <c r="A451" s="417" t="s">
        <v>471</v>
      </c>
      <c r="B451" s="693" t="s">
        <v>216</v>
      </c>
      <c r="C451" s="427"/>
      <c r="D451" s="398"/>
      <c r="E451" s="399"/>
      <c r="F451" s="666"/>
      <c r="G451" s="666"/>
      <c r="H451" s="668">
        <f>0.01*H$258</f>
        <v>13.530000000000001</v>
      </c>
      <c r="I451" s="668">
        <f>0.04*I$258</f>
        <v>108.24000000000001</v>
      </c>
      <c r="J451" s="666"/>
      <c r="K451" s="668">
        <f>0.01*K$258</f>
        <v>13.530000000000001</v>
      </c>
      <c r="L451" s="668">
        <f>0.05*L$258</f>
        <v>135.30000000000001</v>
      </c>
      <c r="M451" s="668">
        <f>0.02*M$258</f>
        <v>27.060000000000002</v>
      </c>
      <c r="N451" s="668">
        <f>0.05*N$258</f>
        <v>67.650000000000006</v>
      </c>
      <c r="O451" s="666"/>
      <c r="P451" s="666"/>
      <c r="Q451" s="668">
        <f>0.02*Q$258</f>
        <v>81.179999999999993</v>
      </c>
      <c r="R451" s="668">
        <f>0.02*R$258</f>
        <v>81.179999999999993</v>
      </c>
      <c r="S451" s="666">
        <v>0</v>
      </c>
      <c r="T451" s="666">
        <v>0</v>
      </c>
      <c r="U451" s="666">
        <v>0</v>
      </c>
    </row>
    <row r="452" spans="1:21" s="59" customFormat="1" ht="15.75">
      <c r="A452" s="769" t="s">
        <v>472</v>
      </c>
      <c r="B452" s="658" t="s">
        <v>326</v>
      </c>
      <c r="C452" s="404"/>
      <c r="D452" s="641" t="s">
        <v>890</v>
      </c>
      <c r="E452" s="405"/>
      <c r="F452" s="692"/>
      <c r="G452" s="692"/>
      <c r="H452" s="692">
        <f>0.15*H451</f>
        <v>2.0295000000000001</v>
      </c>
      <c r="I452" s="692">
        <f>0.2*$I$451</f>
        <v>21.648000000000003</v>
      </c>
      <c r="J452" s="692"/>
      <c r="K452" s="692">
        <f>0.15*K451</f>
        <v>2.0295000000000001</v>
      </c>
      <c r="L452" s="692">
        <f>0.1*L451</f>
        <v>13.530000000000001</v>
      </c>
      <c r="M452" s="692">
        <f t="shared" ref="M452:R452" si="202">0.1*M451</f>
        <v>2.7060000000000004</v>
      </c>
      <c r="N452" s="692">
        <f t="shared" si="202"/>
        <v>6.7650000000000006</v>
      </c>
      <c r="O452" s="692"/>
      <c r="P452" s="692"/>
      <c r="Q452" s="692">
        <f t="shared" si="202"/>
        <v>8.1180000000000003</v>
      </c>
      <c r="R452" s="692">
        <f t="shared" si="202"/>
        <v>8.1180000000000003</v>
      </c>
      <c r="S452" s="689"/>
      <c r="T452" s="689"/>
      <c r="U452" s="457"/>
    </row>
    <row r="453" spans="1:21" s="432" customFormat="1" ht="15.75">
      <c r="A453" s="526" t="s">
        <v>473</v>
      </c>
      <c r="B453" s="695" t="s">
        <v>135</v>
      </c>
      <c r="C453" s="429"/>
      <c r="D453" s="430" t="s">
        <v>890</v>
      </c>
      <c r="E453" s="431"/>
      <c r="F453" s="692"/>
      <c r="G453" s="692"/>
      <c r="H453" s="692">
        <f>0.2*H451</f>
        <v>2.7060000000000004</v>
      </c>
      <c r="I453" s="692">
        <f>0.3*$I$451</f>
        <v>32.472000000000001</v>
      </c>
      <c r="J453" s="692"/>
      <c r="K453" s="692">
        <f>0.2*K451</f>
        <v>2.7060000000000004</v>
      </c>
      <c r="L453" s="692">
        <f t="shared" ref="L453:R453" si="203">0.2*L451</f>
        <v>27.060000000000002</v>
      </c>
      <c r="M453" s="692">
        <f t="shared" si="203"/>
        <v>5.4120000000000008</v>
      </c>
      <c r="N453" s="692">
        <f t="shared" si="203"/>
        <v>13.530000000000001</v>
      </c>
      <c r="O453" s="692"/>
      <c r="P453" s="692"/>
      <c r="Q453" s="692">
        <f t="shared" si="203"/>
        <v>16.236000000000001</v>
      </c>
      <c r="R453" s="692">
        <f t="shared" si="203"/>
        <v>16.236000000000001</v>
      </c>
      <c r="S453" s="689"/>
      <c r="T453" s="689"/>
      <c r="U453" s="437"/>
    </row>
    <row r="454" spans="1:21" s="432" customFormat="1" ht="15.75">
      <c r="A454" s="657" t="s">
        <v>474</v>
      </c>
      <c r="B454" s="658" t="s">
        <v>105</v>
      </c>
      <c r="C454" s="434"/>
      <c r="D454" s="430" t="s">
        <v>890</v>
      </c>
      <c r="E454" s="435"/>
      <c r="F454" s="692"/>
      <c r="G454" s="692"/>
      <c r="H454" s="692">
        <f>0.1*H$451</f>
        <v>1.3530000000000002</v>
      </c>
      <c r="I454" s="692">
        <f>0.1*$I$451</f>
        <v>10.824000000000002</v>
      </c>
      <c r="J454" s="692"/>
      <c r="K454" s="692">
        <f t="shared" ref="K454:N454" si="204">0.1*K$451</f>
        <v>1.3530000000000002</v>
      </c>
      <c r="L454" s="692">
        <f t="shared" si="204"/>
        <v>13.530000000000001</v>
      </c>
      <c r="M454" s="692">
        <f t="shared" si="204"/>
        <v>2.7060000000000004</v>
      </c>
      <c r="N454" s="692">
        <f t="shared" si="204"/>
        <v>6.7650000000000006</v>
      </c>
      <c r="O454" s="692"/>
      <c r="P454" s="692"/>
      <c r="Q454" s="692">
        <f>0.1*Q$451</f>
        <v>8.1180000000000003</v>
      </c>
      <c r="R454" s="692">
        <f>0.1*R$451</f>
        <v>8.1180000000000003</v>
      </c>
      <c r="S454" s="689"/>
      <c r="T454" s="689"/>
      <c r="U454" s="437"/>
    </row>
    <row r="455" spans="1:21" s="59" customFormat="1" ht="15.75">
      <c r="A455" s="769" t="s">
        <v>475</v>
      </c>
      <c r="B455" s="658" t="s">
        <v>142</v>
      </c>
      <c r="C455" s="396"/>
      <c r="D455" s="641" t="s">
        <v>890</v>
      </c>
      <c r="E455" s="397"/>
      <c r="F455" s="692"/>
      <c r="G455" s="692"/>
      <c r="H455" s="692">
        <f>0.25*H$441</f>
        <v>3.3825000000000003</v>
      </c>
      <c r="I455" s="692">
        <f>0.2*$I$451</f>
        <v>21.648000000000003</v>
      </c>
      <c r="J455" s="692"/>
      <c r="K455" s="692">
        <f>0.25*K$441</f>
        <v>3.3825000000000003</v>
      </c>
      <c r="L455" s="692">
        <f>0.3*L$451</f>
        <v>40.590000000000003</v>
      </c>
      <c r="M455" s="692">
        <f>0.3*M$451</f>
        <v>8.1180000000000003</v>
      </c>
      <c r="N455" s="692">
        <f>0.3*N$451</f>
        <v>20.295000000000002</v>
      </c>
      <c r="O455" s="692"/>
      <c r="P455" s="692"/>
      <c r="Q455" s="692">
        <f>0.3*Q$451</f>
        <v>24.353999999999996</v>
      </c>
      <c r="R455" s="692">
        <f>0.3*R$451</f>
        <v>24.353999999999996</v>
      </c>
      <c r="S455" s="453"/>
      <c r="T455" s="453"/>
      <c r="U455" s="457"/>
    </row>
    <row r="456" spans="1:21" s="59" customFormat="1" ht="15.75">
      <c r="A456" s="769" t="s">
        <v>476</v>
      </c>
      <c r="B456" s="658" t="s">
        <v>150</v>
      </c>
      <c r="C456" s="404"/>
      <c r="D456" s="641" t="s">
        <v>890</v>
      </c>
      <c r="E456" s="405"/>
      <c r="F456" s="692"/>
      <c r="G456" s="692"/>
      <c r="H456" s="692">
        <f>0.2*H$441</f>
        <v>2.7060000000000004</v>
      </c>
      <c r="I456" s="692">
        <f>0.2*$I$451</f>
        <v>21.648000000000003</v>
      </c>
      <c r="J456" s="692"/>
      <c r="K456" s="692">
        <f>0.2*K$441</f>
        <v>2.7060000000000004</v>
      </c>
      <c r="L456" s="692">
        <f t="shared" ref="L456:R456" si="205">0.2*L$451</f>
        <v>27.060000000000002</v>
      </c>
      <c r="M456" s="692">
        <f t="shared" si="205"/>
        <v>5.4120000000000008</v>
      </c>
      <c r="N456" s="692">
        <f t="shared" si="205"/>
        <v>13.530000000000001</v>
      </c>
      <c r="O456" s="692"/>
      <c r="P456" s="692"/>
      <c r="Q456" s="692">
        <f t="shared" si="205"/>
        <v>16.236000000000001</v>
      </c>
      <c r="R456" s="692">
        <f t="shared" si="205"/>
        <v>16.236000000000001</v>
      </c>
      <c r="S456" s="689"/>
      <c r="T456" s="689"/>
      <c r="U456" s="457"/>
    </row>
    <row r="457" spans="1:21" s="432" customFormat="1" ht="15.75">
      <c r="A457" s="526" t="s">
        <v>477</v>
      </c>
      <c r="B457" s="695" t="s">
        <v>213</v>
      </c>
      <c r="C457" s="429"/>
      <c r="D457" s="430" t="s">
        <v>890</v>
      </c>
      <c r="E457" s="431"/>
      <c r="F457" s="692"/>
      <c r="G457" s="692"/>
      <c r="H457" s="692">
        <f>0.1*H$451</f>
        <v>1.3530000000000002</v>
      </c>
      <c r="I457" s="692"/>
      <c r="J457" s="692"/>
      <c r="K457" s="692">
        <f>0.1*K$451</f>
        <v>1.3530000000000002</v>
      </c>
      <c r="L457" s="692">
        <f>0.1*L$451</f>
        <v>13.530000000000001</v>
      </c>
      <c r="M457" s="692">
        <f>0.1*M$451</f>
        <v>2.7060000000000004</v>
      </c>
      <c r="N457" s="692">
        <f>0.1*N$451</f>
        <v>6.7650000000000006</v>
      </c>
      <c r="O457" s="692"/>
      <c r="P457" s="692"/>
      <c r="Q457" s="692">
        <f>0.1*Q$451</f>
        <v>8.1180000000000003</v>
      </c>
      <c r="R457" s="692">
        <f>0.1*R$451</f>
        <v>8.1180000000000003</v>
      </c>
      <c r="S457" s="689"/>
      <c r="T457" s="689"/>
      <c r="U457" s="437"/>
    </row>
    <row r="458" spans="1:21" s="284" customFormat="1" ht="15.75">
      <c r="A458" s="769"/>
      <c r="B458" s="656"/>
      <c r="C458" s="404"/>
      <c r="D458" s="641"/>
      <c r="E458" s="405"/>
      <c r="F458" s="672">
        <f t="shared" ref="F458:U458" si="206">F451-SUM(F452:F457)</f>
        <v>0</v>
      </c>
      <c r="G458" s="672">
        <f t="shared" si="206"/>
        <v>0</v>
      </c>
      <c r="H458" s="672">
        <f t="shared" si="206"/>
        <v>0</v>
      </c>
      <c r="I458" s="672">
        <f t="shared" si="206"/>
        <v>0</v>
      </c>
      <c r="J458" s="672">
        <f t="shared" si="206"/>
        <v>0</v>
      </c>
      <c r="K458" s="672">
        <f>K451-SUM(K452:K457)</f>
        <v>0</v>
      </c>
      <c r="L458" s="672">
        <f>L451-SUM(L452:L457)</f>
        <v>0</v>
      </c>
      <c r="M458" s="672">
        <f t="shared" si="206"/>
        <v>0</v>
      </c>
      <c r="N458" s="672">
        <f t="shared" si="206"/>
        <v>0</v>
      </c>
      <c r="O458" s="672">
        <f t="shared" si="206"/>
        <v>0</v>
      </c>
      <c r="P458" s="672"/>
      <c r="Q458" s="672">
        <f t="shared" si="206"/>
        <v>0</v>
      </c>
      <c r="R458" s="672">
        <f t="shared" si="206"/>
        <v>0</v>
      </c>
      <c r="S458" s="672">
        <f t="shared" si="206"/>
        <v>0</v>
      </c>
      <c r="T458" s="672">
        <f t="shared" si="206"/>
        <v>0</v>
      </c>
      <c r="U458" s="672">
        <f t="shared" si="206"/>
        <v>0</v>
      </c>
    </row>
    <row r="459" spans="1:21" s="59" customFormat="1" ht="15.75">
      <c r="A459" s="769"/>
      <c r="B459" s="656"/>
      <c r="C459" s="404"/>
      <c r="D459" s="641"/>
      <c r="E459" s="405"/>
      <c r="F459" s="690"/>
      <c r="G459" s="690"/>
      <c r="H459" s="690"/>
      <c r="I459" s="690"/>
      <c r="J459" s="690"/>
      <c r="K459" s="690"/>
      <c r="L459" s="690"/>
      <c r="M459" s="690"/>
      <c r="N459" s="690"/>
      <c r="O459" s="690"/>
      <c r="P459" s="690"/>
      <c r="Q459" s="690"/>
      <c r="R459" s="690"/>
      <c r="S459" s="690"/>
      <c r="T459" s="690"/>
      <c r="U459" s="690"/>
    </row>
    <row r="460" spans="1:21" s="401" customFormat="1" ht="15.75">
      <c r="A460" s="417" t="s">
        <v>478</v>
      </c>
      <c r="B460" s="693" t="s">
        <v>222</v>
      </c>
      <c r="C460" s="427"/>
      <c r="D460" s="398"/>
      <c r="E460" s="399"/>
      <c r="F460" s="669">
        <f>0.05*F$258</f>
        <v>153.34</v>
      </c>
      <c r="G460" s="669">
        <f>0.05*G$258</f>
        <v>67.650000000000006</v>
      </c>
      <c r="H460" s="820">
        <f>0.01*H$258</f>
        <v>13.530000000000001</v>
      </c>
      <c r="I460" s="820"/>
      <c r="J460" s="820"/>
      <c r="K460" s="820">
        <f t="shared" ref="K460:L460" si="207">0.01*K$258</f>
        <v>13.530000000000001</v>
      </c>
      <c r="L460" s="820">
        <f t="shared" si="207"/>
        <v>27.060000000000002</v>
      </c>
      <c r="M460" s="820">
        <f>0.03*M$258</f>
        <v>40.589999999999996</v>
      </c>
      <c r="N460" s="669"/>
      <c r="O460" s="669"/>
      <c r="P460" s="669"/>
      <c r="Q460" s="820">
        <f>0.005*Q$258</f>
        <v>20.294999999999998</v>
      </c>
      <c r="R460" s="820">
        <f>0.005*R$258</f>
        <v>20.294999999999998</v>
      </c>
      <c r="S460" s="669">
        <v>0</v>
      </c>
      <c r="T460" s="669">
        <v>0</v>
      </c>
      <c r="U460" s="669">
        <v>0</v>
      </c>
    </row>
    <row r="461" spans="1:21" s="432" customFormat="1" ht="15.75">
      <c r="A461" s="657" t="s">
        <v>479</v>
      </c>
      <c r="B461" s="658" t="s">
        <v>326</v>
      </c>
      <c r="C461" s="429"/>
      <c r="D461" s="430" t="s">
        <v>890</v>
      </c>
      <c r="E461" s="431"/>
      <c r="F461" s="692">
        <f>0.25*F$460</f>
        <v>38.335000000000001</v>
      </c>
      <c r="G461" s="692">
        <f t="shared" ref="G461:R461" si="208">0.25*G$460</f>
        <v>16.912500000000001</v>
      </c>
      <c r="H461" s="692">
        <f t="shared" si="208"/>
        <v>3.3825000000000003</v>
      </c>
      <c r="I461" s="692"/>
      <c r="J461" s="692"/>
      <c r="K461" s="692">
        <f t="shared" si="208"/>
        <v>3.3825000000000003</v>
      </c>
      <c r="L461" s="692">
        <f t="shared" si="208"/>
        <v>6.7650000000000006</v>
      </c>
      <c r="M461" s="692">
        <f t="shared" si="208"/>
        <v>10.147499999999999</v>
      </c>
      <c r="N461" s="692"/>
      <c r="O461" s="692"/>
      <c r="P461" s="692"/>
      <c r="Q461" s="692">
        <f t="shared" si="208"/>
        <v>5.0737499999999995</v>
      </c>
      <c r="R461" s="692">
        <f t="shared" si="208"/>
        <v>5.0737499999999995</v>
      </c>
      <c r="S461" s="689"/>
      <c r="T461" s="689"/>
      <c r="U461" s="437"/>
    </row>
    <row r="462" spans="1:21" s="432" customFormat="1" ht="31.5">
      <c r="A462" s="526" t="s">
        <v>480</v>
      </c>
      <c r="B462" s="695" t="s">
        <v>481</v>
      </c>
      <c r="C462" s="429"/>
      <c r="D462" s="430" t="s">
        <v>890</v>
      </c>
      <c r="E462" s="431"/>
      <c r="F462" s="692">
        <f>0.1*F$460</f>
        <v>15.334000000000001</v>
      </c>
      <c r="G462" s="692">
        <f t="shared" ref="G462:R463" si="209">0.1*G$460</f>
        <v>6.7650000000000006</v>
      </c>
      <c r="H462" s="692">
        <f t="shared" si="209"/>
        <v>1.3530000000000002</v>
      </c>
      <c r="I462" s="692"/>
      <c r="J462" s="692"/>
      <c r="K462" s="692">
        <f t="shared" si="209"/>
        <v>1.3530000000000002</v>
      </c>
      <c r="L462" s="692">
        <f t="shared" si="209"/>
        <v>2.7060000000000004</v>
      </c>
      <c r="M462" s="692">
        <f t="shared" si="209"/>
        <v>4.0590000000000002</v>
      </c>
      <c r="N462" s="692"/>
      <c r="O462" s="692"/>
      <c r="P462" s="692"/>
      <c r="Q462" s="692">
        <f t="shared" si="209"/>
        <v>2.0295000000000001</v>
      </c>
      <c r="R462" s="692">
        <f t="shared" si="209"/>
        <v>2.0295000000000001</v>
      </c>
      <c r="S462" s="689"/>
      <c r="T462" s="689"/>
      <c r="U462" s="437"/>
    </row>
    <row r="463" spans="1:21" s="432" customFormat="1" ht="15.75">
      <c r="A463" s="526" t="s">
        <v>482</v>
      </c>
      <c r="B463" s="695" t="s">
        <v>105</v>
      </c>
      <c r="C463" s="434"/>
      <c r="D463" s="430" t="s">
        <v>890</v>
      </c>
      <c r="E463" s="435"/>
      <c r="F463" s="692">
        <f>0.1*F$460</f>
        <v>15.334000000000001</v>
      </c>
      <c r="G463" s="692">
        <f t="shared" si="209"/>
        <v>6.7650000000000006</v>
      </c>
      <c r="H463" s="692">
        <f t="shared" si="209"/>
        <v>1.3530000000000002</v>
      </c>
      <c r="I463" s="692"/>
      <c r="J463" s="692"/>
      <c r="K463" s="692">
        <f t="shared" si="209"/>
        <v>1.3530000000000002</v>
      </c>
      <c r="L463" s="692">
        <f t="shared" si="209"/>
        <v>2.7060000000000004</v>
      </c>
      <c r="M463" s="692">
        <f t="shared" si="209"/>
        <v>4.0590000000000002</v>
      </c>
      <c r="N463" s="692"/>
      <c r="O463" s="692"/>
      <c r="P463" s="692"/>
      <c r="Q463" s="692">
        <f t="shared" si="209"/>
        <v>2.0295000000000001</v>
      </c>
      <c r="R463" s="692">
        <f t="shared" si="209"/>
        <v>2.0295000000000001</v>
      </c>
      <c r="S463" s="689"/>
      <c r="T463" s="689"/>
      <c r="U463" s="437"/>
    </row>
    <row r="464" spans="1:21" s="432" customFormat="1" ht="15.75">
      <c r="A464" s="657" t="s">
        <v>483</v>
      </c>
      <c r="B464" s="658" t="s">
        <v>142</v>
      </c>
      <c r="C464" s="434"/>
      <c r="D464" s="430" t="s">
        <v>890</v>
      </c>
      <c r="E464" s="435"/>
      <c r="F464" s="692">
        <f t="shared" ref="F464:R464" si="210">0.25*F$460</f>
        <v>38.335000000000001</v>
      </c>
      <c r="G464" s="692">
        <f t="shared" si="210"/>
        <v>16.912500000000001</v>
      </c>
      <c r="H464" s="692">
        <f t="shared" si="210"/>
        <v>3.3825000000000003</v>
      </c>
      <c r="I464" s="692"/>
      <c r="J464" s="692"/>
      <c r="K464" s="692">
        <f t="shared" si="210"/>
        <v>3.3825000000000003</v>
      </c>
      <c r="L464" s="692">
        <f t="shared" si="210"/>
        <v>6.7650000000000006</v>
      </c>
      <c r="M464" s="692">
        <f t="shared" si="210"/>
        <v>10.147499999999999</v>
      </c>
      <c r="N464" s="692"/>
      <c r="O464" s="692"/>
      <c r="P464" s="692"/>
      <c r="Q464" s="692">
        <f t="shared" si="210"/>
        <v>5.0737499999999995</v>
      </c>
      <c r="R464" s="692">
        <f t="shared" si="210"/>
        <v>5.0737499999999995</v>
      </c>
      <c r="S464" s="689"/>
      <c r="T464" s="689"/>
      <c r="U464" s="437"/>
    </row>
    <row r="465" spans="1:21" s="432" customFormat="1" ht="15.75">
      <c r="A465" s="657" t="s">
        <v>484</v>
      </c>
      <c r="B465" s="658" t="s">
        <v>150</v>
      </c>
      <c r="C465" s="429"/>
      <c r="D465" s="430" t="s">
        <v>890</v>
      </c>
      <c r="E465" s="431"/>
      <c r="F465" s="692">
        <f>0.1*F$460</f>
        <v>15.334000000000001</v>
      </c>
      <c r="G465" s="692">
        <f t="shared" ref="G465:R467" si="211">0.1*G$460</f>
        <v>6.7650000000000006</v>
      </c>
      <c r="H465" s="692">
        <f t="shared" si="211"/>
        <v>1.3530000000000002</v>
      </c>
      <c r="I465" s="692"/>
      <c r="J465" s="692"/>
      <c r="K465" s="692">
        <f t="shared" si="211"/>
        <v>1.3530000000000002</v>
      </c>
      <c r="L465" s="692">
        <f t="shared" si="211"/>
        <v>2.7060000000000004</v>
      </c>
      <c r="M465" s="692">
        <f t="shared" si="211"/>
        <v>4.0590000000000002</v>
      </c>
      <c r="N465" s="692"/>
      <c r="O465" s="692"/>
      <c r="P465" s="692"/>
      <c r="Q465" s="692">
        <f t="shared" si="211"/>
        <v>2.0295000000000001</v>
      </c>
      <c r="R465" s="692">
        <f t="shared" si="211"/>
        <v>2.0295000000000001</v>
      </c>
      <c r="S465" s="689"/>
      <c r="T465" s="689"/>
      <c r="U465" s="437"/>
    </row>
    <row r="466" spans="1:21" s="432" customFormat="1" ht="15.75">
      <c r="A466" s="526" t="s">
        <v>485</v>
      </c>
      <c r="B466" s="695" t="s">
        <v>213</v>
      </c>
      <c r="C466" s="429"/>
      <c r="D466" s="430" t="s">
        <v>890</v>
      </c>
      <c r="E466" s="431"/>
      <c r="F466" s="692">
        <f>0.1*F$460</f>
        <v>15.334000000000001</v>
      </c>
      <c r="G466" s="692">
        <f t="shared" si="211"/>
        <v>6.7650000000000006</v>
      </c>
      <c r="H466" s="692">
        <f t="shared" si="211"/>
        <v>1.3530000000000002</v>
      </c>
      <c r="I466" s="692"/>
      <c r="J466" s="692"/>
      <c r="K466" s="692">
        <f t="shared" si="211"/>
        <v>1.3530000000000002</v>
      </c>
      <c r="L466" s="692">
        <f t="shared" si="211"/>
        <v>2.7060000000000004</v>
      </c>
      <c r="M466" s="692">
        <f t="shared" si="211"/>
        <v>4.0590000000000002</v>
      </c>
      <c r="N466" s="692"/>
      <c r="O466" s="692"/>
      <c r="P466" s="692"/>
      <c r="Q466" s="692">
        <f t="shared" si="211"/>
        <v>2.0295000000000001</v>
      </c>
      <c r="R466" s="692">
        <f t="shared" si="211"/>
        <v>2.0295000000000001</v>
      </c>
      <c r="S466" s="689"/>
      <c r="T466" s="689"/>
      <c r="U466" s="437"/>
    </row>
    <row r="467" spans="1:21" s="432" customFormat="1" ht="15.75">
      <c r="A467" s="657" t="s">
        <v>486</v>
      </c>
      <c r="B467" s="658" t="s">
        <v>229</v>
      </c>
      <c r="C467" s="429"/>
      <c r="D467" s="430" t="s">
        <v>890</v>
      </c>
      <c r="E467" s="431"/>
      <c r="F467" s="692">
        <f>0.1*F$460</f>
        <v>15.334000000000001</v>
      </c>
      <c r="G467" s="692">
        <f t="shared" si="211"/>
        <v>6.7650000000000006</v>
      </c>
      <c r="H467" s="692">
        <f t="shared" si="211"/>
        <v>1.3530000000000002</v>
      </c>
      <c r="I467" s="692"/>
      <c r="J467" s="692"/>
      <c r="K467" s="692">
        <f t="shared" si="211"/>
        <v>1.3530000000000002</v>
      </c>
      <c r="L467" s="692">
        <f t="shared" si="211"/>
        <v>2.7060000000000004</v>
      </c>
      <c r="M467" s="692">
        <f t="shared" si="211"/>
        <v>4.0590000000000002</v>
      </c>
      <c r="N467" s="692"/>
      <c r="O467" s="692"/>
      <c r="P467" s="692"/>
      <c r="Q467" s="692">
        <f t="shared" si="211"/>
        <v>2.0295000000000001</v>
      </c>
      <c r="R467" s="692">
        <f t="shared" si="211"/>
        <v>2.0295000000000001</v>
      </c>
      <c r="S467" s="689"/>
      <c r="T467" s="689"/>
      <c r="U467" s="437"/>
    </row>
    <row r="468" spans="1:21" s="240" customFormat="1" ht="15.75">
      <c r="A468" s="365"/>
      <c r="B468" s="616"/>
      <c r="C468" s="320"/>
      <c r="D468" s="238"/>
      <c r="E468" s="239"/>
      <c r="F468" s="664">
        <f t="shared" ref="F468:U468" si="212">F460-SUM(F461:F467)</f>
        <v>0</v>
      </c>
      <c r="G468" s="664">
        <f t="shared" si="212"/>
        <v>0</v>
      </c>
      <c r="H468" s="664">
        <f t="shared" si="212"/>
        <v>0</v>
      </c>
      <c r="I468" s="664">
        <f t="shared" si="212"/>
        <v>0</v>
      </c>
      <c r="J468" s="664">
        <f t="shared" si="212"/>
        <v>0</v>
      </c>
      <c r="K468" s="664">
        <f>K460-SUM(K461:K467)</f>
        <v>0</v>
      </c>
      <c r="L468" s="664">
        <f t="shared" si="212"/>
        <v>0</v>
      </c>
      <c r="M468" s="664">
        <f t="shared" si="212"/>
        <v>0</v>
      </c>
      <c r="N468" s="664">
        <f t="shared" si="212"/>
        <v>0</v>
      </c>
      <c r="O468" s="664">
        <f t="shared" si="212"/>
        <v>0</v>
      </c>
      <c r="P468" s="664"/>
      <c r="Q468" s="664">
        <f t="shared" si="212"/>
        <v>0</v>
      </c>
      <c r="R468" s="664">
        <f t="shared" si="212"/>
        <v>0</v>
      </c>
      <c r="S468" s="664">
        <f t="shared" si="212"/>
        <v>0</v>
      </c>
      <c r="T468" s="664">
        <f t="shared" si="212"/>
        <v>0</v>
      </c>
      <c r="U468" s="664">
        <f t="shared" si="212"/>
        <v>0</v>
      </c>
    </row>
    <row r="469" spans="1:21" s="59" customFormat="1" ht="15.75">
      <c r="A469" s="769"/>
      <c r="B469" s="656"/>
      <c r="C469" s="404"/>
      <c r="D469" s="641"/>
      <c r="E469" s="405"/>
      <c r="F469" s="690"/>
      <c r="G469" s="690"/>
      <c r="H469" s="690"/>
      <c r="I469" s="690"/>
      <c r="J469" s="690"/>
      <c r="K469" s="690"/>
      <c r="L469" s="690"/>
      <c r="M469" s="690"/>
      <c r="N469" s="690"/>
      <c r="O469" s="690"/>
      <c r="P469" s="690"/>
      <c r="Q469" s="690"/>
      <c r="R469" s="690"/>
      <c r="S469" s="690"/>
      <c r="T469" s="690"/>
      <c r="U469" s="690"/>
    </row>
    <row r="470" spans="1:21" s="401" customFormat="1" ht="15.75">
      <c r="A470" s="417" t="s">
        <v>487</v>
      </c>
      <c r="B470" s="693" t="s">
        <v>231</v>
      </c>
      <c r="C470" s="427"/>
      <c r="D470" s="398"/>
      <c r="E470" s="399"/>
      <c r="F470" s="669">
        <f>0.08*F$258</f>
        <v>245.34399999999999</v>
      </c>
      <c r="G470" s="669">
        <f>0.07*G$258</f>
        <v>94.710000000000008</v>
      </c>
      <c r="H470" s="820">
        <f>0.16*H$258</f>
        <v>216.48000000000002</v>
      </c>
      <c r="I470" s="820"/>
      <c r="J470" s="820"/>
      <c r="K470" s="820">
        <f t="shared" ref="K470" si="213">0.16*K$258</f>
        <v>216.48000000000002</v>
      </c>
      <c r="L470" s="669"/>
      <c r="M470" s="669"/>
      <c r="N470" s="669"/>
      <c r="O470" s="669"/>
      <c r="P470" s="669"/>
      <c r="Q470" s="820">
        <f>0.02*Q$258</f>
        <v>81.179999999999993</v>
      </c>
      <c r="R470" s="820">
        <f>0.02*R$258</f>
        <v>81.179999999999993</v>
      </c>
      <c r="S470" s="669">
        <v>0</v>
      </c>
      <c r="T470" s="669">
        <v>0</v>
      </c>
      <c r="U470" s="669">
        <v>0</v>
      </c>
    </row>
    <row r="471" spans="1:21" s="432" customFormat="1" ht="15.75">
      <c r="A471" s="657" t="s">
        <v>488</v>
      </c>
      <c r="B471" s="658" t="s">
        <v>326</v>
      </c>
      <c r="C471" s="429"/>
      <c r="D471" s="430" t="s">
        <v>890</v>
      </c>
      <c r="E471" s="431"/>
      <c r="F471" s="692">
        <f>0.25*F$470</f>
        <v>61.335999999999999</v>
      </c>
      <c r="G471" s="692">
        <f>0.25*G$470</f>
        <v>23.677500000000002</v>
      </c>
      <c r="H471" s="692">
        <f>0.25*H$470</f>
        <v>54.120000000000005</v>
      </c>
      <c r="I471" s="692"/>
      <c r="J471" s="692"/>
      <c r="K471" s="692">
        <f>0.25*K$470</f>
        <v>54.120000000000005</v>
      </c>
      <c r="L471" s="692"/>
      <c r="M471" s="692"/>
      <c r="N471" s="692"/>
      <c r="O471" s="692"/>
      <c r="P471" s="692"/>
      <c r="Q471" s="692">
        <f>0.25*Q$470</f>
        <v>20.294999999999998</v>
      </c>
      <c r="R471" s="692">
        <f>0.25*R$470</f>
        <v>20.294999999999998</v>
      </c>
      <c r="S471" s="689"/>
      <c r="T471" s="689"/>
      <c r="U471" s="437"/>
    </row>
    <row r="472" spans="1:21" s="432" customFormat="1" ht="15.75">
      <c r="A472" s="526" t="s">
        <v>489</v>
      </c>
      <c r="B472" s="695" t="s">
        <v>135</v>
      </c>
      <c r="C472" s="429"/>
      <c r="D472" s="430" t="s">
        <v>890</v>
      </c>
      <c r="E472" s="431"/>
      <c r="F472" s="692">
        <f t="shared" ref="F472:H473" si="214">0.1*F$470</f>
        <v>24.534400000000002</v>
      </c>
      <c r="G472" s="692">
        <f t="shared" si="214"/>
        <v>9.4710000000000019</v>
      </c>
      <c r="H472" s="692">
        <f t="shared" si="214"/>
        <v>21.648000000000003</v>
      </c>
      <c r="I472" s="692"/>
      <c r="J472" s="692"/>
      <c r="K472" s="692">
        <f>0.1*K$470</f>
        <v>21.648000000000003</v>
      </c>
      <c r="L472" s="692"/>
      <c r="M472" s="692"/>
      <c r="N472" s="692"/>
      <c r="O472" s="692"/>
      <c r="P472" s="692"/>
      <c r="Q472" s="692">
        <f>0.1*Q$470</f>
        <v>8.1180000000000003</v>
      </c>
      <c r="R472" s="692">
        <f>0.1*R$470</f>
        <v>8.1180000000000003</v>
      </c>
      <c r="S472" s="689"/>
      <c r="T472" s="689"/>
      <c r="U472" s="437"/>
    </row>
    <row r="473" spans="1:21" s="432" customFormat="1" ht="15.75">
      <c r="A473" s="526" t="s">
        <v>490</v>
      </c>
      <c r="B473" s="695" t="s">
        <v>105</v>
      </c>
      <c r="C473" s="434"/>
      <c r="D473" s="430" t="s">
        <v>890</v>
      </c>
      <c r="E473" s="435"/>
      <c r="F473" s="692">
        <f t="shared" si="214"/>
        <v>24.534400000000002</v>
      </c>
      <c r="G473" s="692">
        <f t="shared" si="214"/>
        <v>9.4710000000000019</v>
      </c>
      <c r="H473" s="692">
        <f t="shared" si="214"/>
        <v>21.648000000000003</v>
      </c>
      <c r="I473" s="692"/>
      <c r="J473" s="692"/>
      <c r="K473" s="692">
        <f>0.1*K$470</f>
        <v>21.648000000000003</v>
      </c>
      <c r="L473" s="692"/>
      <c r="M473" s="692"/>
      <c r="N473" s="692"/>
      <c r="O473" s="692"/>
      <c r="P473" s="692"/>
      <c r="Q473" s="692">
        <f>0.1*Q$470</f>
        <v>8.1180000000000003</v>
      </c>
      <c r="R473" s="692">
        <f>0.1*R$470</f>
        <v>8.1180000000000003</v>
      </c>
      <c r="S473" s="689"/>
      <c r="T473" s="689"/>
      <c r="U473" s="437"/>
    </row>
    <row r="474" spans="1:21" s="432" customFormat="1" ht="15.75">
      <c r="A474" s="657" t="s">
        <v>491</v>
      </c>
      <c r="B474" s="658" t="s">
        <v>142</v>
      </c>
      <c r="C474" s="434"/>
      <c r="D474" s="430" t="s">
        <v>890</v>
      </c>
      <c r="E474" s="435"/>
      <c r="F474" s="692">
        <f>0.25*F$470</f>
        <v>61.335999999999999</v>
      </c>
      <c r="G474" s="692">
        <f>0.25*G$470</f>
        <v>23.677500000000002</v>
      </c>
      <c r="H474" s="692">
        <f>0.25*H$470</f>
        <v>54.120000000000005</v>
      </c>
      <c r="I474" s="692"/>
      <c r="J474" s="692"/>
      <c r="K474" s="692">
        <f>0.25*K$470</f>
        <v>54.120000000000005</v>
      </c>
      <c r="L474" s="692"/>
      <c r="M474" s="692"/>
      <c r="N474" s="692"/>
      <c r="O474" s="692"/>
      <c r="P474" s="692"/>
      <c r="Q474" s="692">
        <f>0.25*Q$470</f>
        <v>20.294999999999998</v>
      </c>
      <c r="R474" s="692">
        <f>0.25*R$470</f>
        <v>20.294999999999998</v>
      </c>
      <c r="S474" s="689"/>
      <c r="T474" s="689"/>
      <c r="U474" s="437"/>
    </row>
    <row r="475" spans="1:21" s="432" customFormat="1" ht="15.75">
      <c r="A475" s="657" t="s">
        <v>492</v>
      </c>
      <c r="B475" s="658" t="s">
        <v>150</v>
      </c>
      <c r="C475" s="429"/>
      <c r="D475" s="430" t="s">
        <v>890</v>
      </c>
      <c r="E475" s="431"/>
      <c r="F475" s="692">
        <f t="shared" ref="F475:H477" si="215">0.1*F$470</f>
        <v>24.534400000000002</v>
      </c>
      <c r="G475" s="692">
        <f t="shared" si="215"/>
        <v>9.4710000000000019</v>
      </c>
      <c r="H475" s="692">
        <f t="shared" si="215"/>
        <v>21.648000000000003</v>
      </c>
      <c r="I475" s="692"/>
      <c r="J475" s="692"/>
      <c r="K475" s="692">
        <f>0.1*K$470</f>
        <v>21.648000000000003</v>
      </c>
      <c r="L475" s="692"/>
      <c r="M475" s="692"/>
      <c r="N475" s="692"/>
      <c r="O475" s="692"/>
      <c r="P475" s="692"/>
      <c r="Q475" s="692">
        <f t="shared" ref="Q475:R477" si="216">0.1*Q$470</f>
        <v>8.1180000000000003</v>
      </c>
      <c r="R475" s="692">
        <f t="shared" si="216"/>
        <v>8.1180000000000003</v>
      </c>
      <c r="S475" s="689"/>
      <c r="T475" s="689"/>
      <c r="U475" s="437"/>
    </row>
    <row r="476" spans="1:21" s="432" customFormat="1" ht="15.75">
      <c r="A476" s="526" t="s">
        <v>493</v>
      </c>
      <c r="B476" s="695" t="s">
        <v>213</v>
      </c>
      <c r="C476" s="429"/>
      <c r="D476" s="430" t="s">
        <v>890</v>
      </c>
      <c r="E476" s="431"/>
      <c r="F476" s="692">
        <f t="shared" si="215"/>
        <v>24.534400000000002</v>
      </c>
      <c r="G476" s="692">
        <f t="shared" si="215"/>
        <v>9.4710000000000019</v>
      </c>
      <c r="H476" s="692">
        <f t="shared" si="215"/>
        <v>21.648000000000003</v>
      </c>
      <c r="I476" s="692"/>
      <c r="J476" s="692"/>
      <c r="K476" s="692">
        <f>0.1*K$470</f>
        <v>21.648000000000003</v>
      </c>
      <c r="L476" s="692"/>
      <c r="M476" s="692"/>
      <c r="N476" s="692"/>
      <c r="O476" s="692"/>
      <c r="P476" s="692"/>
      <c r="Q476" s="692">
        <f t="shared" si="216"/>
        <v>8.1180000000000003</v>
      </c>
      <c r="R476" s="692">
        <f t="shared" si="216"/>
        <v>8.1180000000000003</v>
      </c>
      <c r="S476" s="689"/>
      <c r="T476" s="689"/>
      <c r="U476" s="437"/>
    </row>
    <row r="477" spans="1:21" s="59" customFormat="1" ht="15.75">
      <c r="A477" s="769" t="s">
        <v>494</v>
      </c>
      <c r="B477" s="658" t="s">
        <v>152</v>
      </c>
      <c r="C477" s="404"/>
      <c r="D477" s="641" t="s">
        <v>890</v>
      </c>
      <c r="E477" s="405"/>
      <c r="F477" s="692">
        <f t="shared" si="215"/>
        <v>24.534400000000002</v>
      </c>
      <c r="G477" s="692">
        <f t="shared" si="215"/>
        <v>9.4710000000000019</v>
      </c>
      <c r="H477" s="692">
        <f t="shared" si="215"/>
        <v>21.648000000000003</v>
      </c>
      <c r="I477" s="692"/>
      <c r="J477" s="692"/>
      <c r="K477" s="692">
        <f>0.1*K$470</f>
        <v>21.648000000000003</v>
      </c>
      <c r="L477" s="692"/>
      <c r="M477" s="692"/>
      <c r="N477" s="692"/>
      <c r="O477" s="692"/>
      <c r="P477" s="692"/>
      <c r="Q477" s="692">
        <f t="shared" si="216"/>
        <v>8.1180000000000003</v>
      </c>
      <c r="R477" s="692">
        <f t="shared" si="216"/>
        <v>8.1180000000000003</v>
      </c>
      <c r="S477" s="689"/>
      <c r="T477" s="689"/>
      <c r="U477" s="457"/>
    </row>
    <row r="478" spans="1:21" s="240" customFormat="1" ht="15.75">
      <c r="A478" s="365"/>
      <c r="B478" s="616"/>
      <c r="C478" s="320"/>
      <c r="D478" s="238"/>
      <c r="E478" s="239"/>
      <c r="F478" s="664">
        <f t="shared" ref="F478:U478" si="217">F470-SUM(F471:F477)</f>
        <v>0</v>
      </c>
      <c r="G478" s="664">
        <f t="shared" si="217"/>
        <v>0</v>
      </c>
      <c r="H478" s="664">
        <f t="shared" si="217"/>
        <v>0</v>
      </c>
      <c r="I478" s="664">
        <f t="shared" si="217"/>
        <v>0</v>
      </c>
      <c r="J478" s="664">
        <f t="shared" si="217"/>
        <v>0</v>
      </c>
      <c r="K478" s="664">
        <f>K470-SUM(K471:K477)</f>
        <v>0</v>
      </c>
      <c r="L478" s="664">
        <f t="shared" si="217"/>
        <v>0</v>
      </c>
      <c r="M478" s="664">
        <f t="shared" si="217"/>
        <v>0</v>
      </c>
      <c r="N478" s="664">
        <f t="shared" si="217"/>
        <v>0</v>
      </c>
      <c r="O478" s="664">
        <f t="shared" si="217"/>
        <v>0</v>
      </c>
      <c r="P478" s="664">
        <f>P470-SUM(P471:P477)</f>
        <v>0</v>
      </c>
      <c r="Q478" s="664">
        <f t="shared" si="217"/>
        <v>0</v>
      </c>
      <c r="R478" s="664">
        <f t="shared" si="217"/>
        <v>0</v>
      </c>
      <c r="S478" s="664">
        <f t="shared" si="217"/>
        <v>0</v>
      </c>
      <c r="T478" s="664">
        <f t="shared" si="217"/>
        <v>0</v>
      </c>
      <c r="U478" s="664">
        <f t="shared" si="217"/>
        <v>0</v>
      </c>
    </row>
    <row r="479" spans="1:21" s="59" customFormat="1" ht="15.75">
      <c r="A479" s="769"/>
      <c r="B479" s="656"/>
      <c r="C479" s="404"/>
      <c r="D479" s="641"/>
      <c r="E479" s="405"/>
      <c r="F479" s="690"/>
      <c r="G479" s="690"/>
      <c r="H479" s="690"/>
      <c r="I479" s="690"/>
      <c r="J479" s="690"/>
      <c r="K479" s="690"/>
      <c r="L479" s="690"/>
      <c r="M479" s="690"/>
      <c r="N479" s="690"/>
      <c r="O479" s="690"/>
      <c r="P479" s="690"/>
      <c r="Q479" s="690"/>
      <c r="R479" s="690"/>
      <c r="S479" s="690"/>
      <c r="T479" s="690"/>
      <c r="U479" s="690"/>
    </row>
    <row r="480" spans="1:21" s="401" customFormat="1" ht="15.75">
      <c r="A480" s="417" t="s">
        <v>495</v>
      </c>
      <c r="B480" s="693" t="s">
        <v>238</v>
      </c>
      <c r="C480" s="427"/>
      <c r="D480" s="398"/>
      <c r="E480" s="399"/>
      <c r="F480" s="669">
        <f>0.07*F$258</f>
        <v>214.67599999999999</v>
      </c>
      <c r="G480" s="669">
        <f>0.05*G$258</f>
        <v>67.650000000000006</v>
      </c>
      <c r="H480" s="820">
        <f>0.16*H$258</f>
        <v>216.48000000000002</v>
      </c>
      <c r="I480" s="820"/>
      <c r="J480" s="820"/>
      <c r="K480" s="820">
        <f t="shared" ref="K480" si="218">0.16*K$258</f>
        <v>216.48000000000002</v>
      </c>
      <c r="L480" s="669"/>
      <c r="M480" s="669"/>
      <c r="N480" s="669"/>
      <c r="O480" s="669"/>
      <c r="P480" s="669">
        <f>0.2*P$258</f>
        <v>72.16</v>
      </c>
      <c r="Q480" s="820">
        <f>0.02*Q$258</f>
        <v>81.179999999999993</v>
      </c>
      <c r="R480" s="820">
        <f>0.02*R$258</f>
        <v>81.179999999999993</v>
      </c>
      <c r="S480" s="669">
        <v>0</v>
      </c>
      <c r="T480" s="669">
        <v>0</v>
      </c>
      <c r="U480" s="669">
        <v>0</v>
      </c>
    </row>
    <row r="481" spans="1:21" s="59" customFormat="1" ht="15.75">
      <c r="A481" s="769" t="s">
        <v>496</v>
      </c>
      <c r="B481" s="658" t="s">
        <v>326</v>
      </c>
      <c r="C481" s="404"/>
      <c r="D481" s="641" t="s">
        <v>890</v>
      </c>
      <c r="E481" s="405"/>
      <c r="F481" s="692">
        <f>0.2*F$480</f>
        <v>42.935200000000002</v>
      </c>
      <c r="G481" s="692">
        <f>0.2*G$480</f>
        <v>13.530000000000001</v>
      </c>
      <c r="H481" s="692">
        <f>0.2*H$480</f>
        <v>43.296000000000006</v>
      </c>
      <c r="I481" s="692"/>
      <c r="J481" s="692"/>
      <c r="K481" s="692">
        <f>0.2*K$480</f>
        <v>43.296000000000006</v>
      </c>
      <c r="L481" s="692"/>
      <c r="M481" s="692"/>
      <c r="N481" s="692"/>
      <c r="O481" s="692"/>
      <c r="P481" s="692">
        <f>0.2*P$480</f>
        <v>14.432</v>
      </c>
      <c r="Q481" s="692">
        <f>0.2*Q$480</f>
        <v>16.236000000000001</v>
      </c>
      <c r="R481" s="692">
        <f>0.2*R$480</f>
        <v>16.236000000000001</v>
      </c>
      <c r="S481" s="689"/>
      <c r="T481" s="689"/>
      <c r="U481" s="457"/>
    </row>
    <row r="482" spans="1:21" s="432" customFormat="1" ht="15.75">
      <c r="A482" s="526" t="s">
        <v>497</v>
      </c>
      <c r="B482" s="695" t="s">
        <v>135</v>
      </c>
      <c r="C482" s="429"/>
      <c r="D482" s="430" t="s">
        <v>890</v>
      </c>
      <c r="E482" s="431"/>
      <c r="F482" s="692">
        <f t="shared" ref="F482:H483" si="219">0.1*F$480</f>
        <v>21.467600000000001</v>
      </c>
      <c r="G482" s="692">
        <f t="shared" si="219"/>
        <v>6.7650000000000006</v>
      </c>
      <c r="H482" s="692">
        <f t="shared" si="219"/>
        <v>21.648000000000003</v>
      </c>
      <c r="I482" s="692"/>
      <c r="J482" s="692"/>
      <c r="K482" s="692">
        <f>0.1*K$480</f>
        <v>21.648000000000003</v>
      </c>
      <c r="L482" s="692"/>
      <c r="M482" s="692"/>
      <c r="N482" s="692"/>
      <c r="O482" s="692"/>
      <c r="P482" s="692">
        <f t="shared" ref="P482:R483" si="220">0.1*P$480</f>
        <v>7.2160000000000002</v>
      </c>
      <c r="Q482" s="692">
        <f t="shared" si="220"/>
        <v>8.1180000000000003</v>
      </c>
      <c r="R482" s="692">
        <f t="shared" si="220"/>
        <v>8.1180000000000003</v>
      </c>
      <c r="S482" s="689"/>
      <c r="T482" s="689"/>
      <c r="U482" s="437"/>
    </row>
    <row r="483" spans="1:21" s="432" customFormat="1" ht="15.75">
      <c r="A483" s="526" t="s">
        <v>498</v>
      </c>
      <c r="B483" s="695" t="s">
        <v>105</v>
      </c>
      <c r="C483" s="434"/>
      <c r="D483" s="430" t="s">
        <v>890</v>
      </c>
      <c r="E483" s="435"/>
      <c r="F483" s="692">
        <f t="shared" si="219"/>
        <v>21.467600000000001</v>
      </c>
      <c r="G483" s="692">
        <f t="shared" si="219"/>
        <v>6.7650000000000006</v>
      </c>
      <c r="H483" s="692">
        <f t="shared" si="219"/>
        <v>21.648000000000003</v>
      </c>
      <c r="I483" s="692"/>
      <c r="J483" s="692"/>
      <c r="K483" s="692">
        <f>0.1*K$480</f>
        <v>21.648000000000003</v>
      </c>
      <c r="L483" s="692"/>
      <c r="M483" s="692"/>
      <c r="N483" s="692"/>
      <c r="O483" s="692"/>
      <c r="P483" s="692">
        <f t="shared" si="220"/>
        <v>7.2160000000000002</v>
      </c>
      <c r="Q483" s="692">
        <f t="shared" si="220"/>
        <v>8.1180000000000003</v>
      </c>
      <c r="R483" s="692">
        <f t="shared" si="220"/>
        <v>8.1180000000000003</v>
      </c>
      <c r="S483" s="689"/>
      <c r="T483" s="689"/>
      <c r="U483" s="437"/>
    </row>
    <row r="484" spans="1:21" s="432" customFormat="1" ht="15.75">
      <c r="A484" s="657" t="s">
        <v>499</v>
      </c>
      <c r="B484" s="658" t="s">
        <v>142</v>
      </c>
      <c r="C484" s="434"/>
      <c r="D484" s="430" t="s">
        <v>890</v>
      </c>
      <c r="E484" s="435"/>
      <c r="F484" s="692">
        <f>0.3*F$480</f>
        <v>64.402799999999999</v>
      </c>
      <c r="G484" s="692">
        <f>0.3*G$480</f>
        <v>20.295000000000002</v>
      </c>
      <c r="H484" s="692">
        <f>0.3*H$480</f>
        <v>64.944000000000003</v>
      </c>
      <c r="I484" s="692"/>
      <c r="J484" s="692"/>
      <c r="K484" s="692">
        <f>0.3*K$480</f>
        <v>64.944000000000003</v>
      </c>
      <c r="L484" s="692"/>
      <c r="M484" s="692"/>
      <c r="N484" s="692"/>
      <c r="O484" s="692"/>
      <c r="P484" s="692">
        <f>0.3*P$480</f>
        <v>21.648</v>
      </c>
      <c r="Q484" s="692">
        <f>0.3*Q$480</f>
        <v>24.353999999999996</v>
      </c>
      <c r="R484" s="692">
        <f>0.3*R$480</f>
        <v>24.353999999999996</v>
      </c>
      <c r="S484" s="689"/>
      <c r="T484" s="689"/>
      <c r="U484" s="437"/>
    </row>
    <row r="485" spans="1:21" s="432" customFormat="1" ht="15.75">
      <c r="A485" s="657" t="s">
        <v>500</v>
      </c>
      <c r="B485" s="658" t="s">
        <v>150</v>
      </c>
      <c r="C485" s="429"/>
      <c r="D485" s="430" t="s">
        <v>890</v>
      </c>
      <c r="E485" s="431"/>
      <c r="F485" s="692">
        <f>0.2*F$480</f>
        <v>42.935200000000002</v>
      </c>
      <c r="G485" s="692">
        <f>0.2*G$480</f>
        <v>13.530000000000001</v>
      </c>
      <c r="H485" s="692">
        <f>0.2*H$480</f>
        <v>43.296000000000006</v>
      </c>
      <c r="I485" s="692"/>
      <c r="J485" s="692"/>
      <c r="K485" s="692">
        <f>0.2*K$480</f>
        <v>43.296000000000006</v>
      </c>
      <c r="L485" s="692"/>
      <c r="M485" s="692"/>
      <c r="N485" s="692"/>
      <c r="O485" s="692"/>
      <c r="P485" s="692">
        <f>0.2*P$480</f>
        <v>14.432</v>
      </c>
      <c r="Q485" s="692">
        <f>0.2*Q$480</f>
        <v>16.236000000000001</v>
      </c>
      <c r="R485" s="692">
        <f>0.2*R$480</f>
        <v>16.236000000000001</v>
      </c>
      <c r="S485" s="689"/>
      <c r="T485" s="689"/>
      <c r="U485" s="437"/>
    </row>
    <row r="486" spans="1:21" s="432" customFormat="1" ht="15.75">
      <c r="A486" s="526" t="s">
        <v>501</v>
      </c>
      <c r="B486" s="695" t="s">
        <v>213</v>
      </c>
      <c r="C486" s="429"/>
      <c r="D486" s="430" t="s">
        <v>890</v>
      </c>
      <c r="E486" s="431"/>
      <c r="F486" s="692">
        <f>0.1*F$480</f>
        <v>21.467600000000001</v>
      </c>
      <c r="G486" s="692">
        <f>0.1*G$480</f>
        <v>6.7650000000000006</v>
      </c>
      <c r="H486" s="692">
        <f>0.1*H$480</f>
        <v>21.648000000000003</v>
      </c>
      <c r="I486" s="692"/>
      <c r="J486" s="692"/>
      <c r="K486" s="692">
        <f>0.1*K$480</f>
        <v>21.648000000000003</v>
      </c>
      <c r="L486" s="692"/>
      <c r="M486" s="692"/>
      <c r="N486" s="692"/>
      <c r="O486" s="692"/>
      <c r="P486" s="692">
        <f>0.1*P$480</f>
        <v>7.2160000000000002</v>
      </c>
      <c r="Q486" s="692">
        <f>0.1*Q$480</f>
        <v>8.1180000000000003</v>
      </c>
      <c r="R486" s="692">
        <f>0.1*R$480</f>
        <v>8.1180000000000003</v>
      </c>
      <c r="S486" s="689"/>
      <c r="T486" s="689"/>
      <c r="U486" s="437"/>
    </row>
    <row r="487" spans="1:21" s="284" customFormat="1" ht="15.75">
      <c r="A487" s="769"/>
      <c r="B487" s="656"/>
      <c r="C487" s="404"/>
      <c r="D487" s="641"/>
      <c r="E487" s="405"/>
      <c r="F487" s="664">
        <f t="shared" ref="F487:U487" si="221">F480-SUM(F481:F486)</f>
        <v>0</v>
      </c>
      <c r="G487" s="664">
        <f t="shared" si="221"/>
        <v>0</v>
      </c>
      <c r="H487" s="664">
        <f t="shared" si="221"/>
        <v>0</v>
      </c>
      <c r="I487" s="664">
        <f t="shared" si="221"/>
        <v>0</v>
      </c>
      <c r="J487" s="664">
        <f t="shared" si="221"/>
        <v>0</v>
      </c>
      <c r="K487" s="664">
        <f>K480-SUM(K481:K486)</f>
        <v>0</v>
      </c>
      <c r="L487" s="664">
        <f t="shared" si="221"/>
        <v>0</v>
      </c>
      <c r="M487" s="664">
        <f t="shared" si="221"/>
        <v>0</v>
      </c>
      <c r="N487" s="664">
        <f t="shared" si="221"/>
        <v>0</v>
      </c>
      <c r="O487" s="664">
        <f t="shared" si="221"/>
        <v>0</v>
      </c>
      <c r="P487" s="664">
        <f>P480-SUM(P481:P486)</f>
        <v>0</v>
      </c>
      <c r="Q487" s="664">
        <f t="shared" si="221"/>
        <v>0</v>
      </c>
      <c r="R487" s="664">
        <f t="shared" si="221"/>
        <v>0</v>
      </c>
      <c r="S487" s="664">
        <f t="shared" si="221"/>
        <v>0</v>
      </c>
      <c r="T487" s="664">
        <f t="shared" si="221"/>
        <v>0</v>
      </c>
      <c r="U487" s="664">
        <f t="shared" si="221"/>
        <v>0</v>
      </c>
    </row>
    <row r="488" spans="1:21" s="59" customFormat="1" ht="15.75">
      <c r="A488" s="769"/>
      <c r="B488" s="656"/>
      <c r="C488" s="404"/>
      <c r="D488" s="641"/>
      <c r="E488" s="405"/>
      <c r="F488" s="690"/>
      <c r="G488" s="690"/>
      <c r="H488" s="690"/>
      <c r="I488" s="690"/>
      <c r="J488" s="690"/>
      <c r="K488" s="690"/>
      <c r="L488" s="690"/>
      <c r="M488" s="690"/>
      <c r="N488" s="690"/>
      <c r="O488" s="690"/>
      <c r="P488" s="690"/>
      <c r="Q488" s="690"/>
      <c r="R488" s="690"/>
      <c r="S488" s="690"/>
      <c r="T488" s="690"/>
      <c r="U488" s="690"/>
    </row>
    <row r="489" spans="1:21" s="288" customFormat="1" ht="15.75">
      <c r="A489" s="417" t="s">
        <v>502</v>
      </c>
      <c r="B489" s="693" t="s">
        <v>243</v>
      </c>
      <c r="C489" s="427"/>
      <c r="D489" s="398"/>
      <c r="E489" s="399"/>
      <c r="F489" s="666">
        <f>0.02*F$258</f>
        <v>61.335999999999999</v>
      </c>
      <c r="G489" s="666">
        <f>0.02*G$258</f>
        <v>27.060000000000002</v>
      </c>
      <c r="H489" s="668">
        <f>0.01*H$258</f>
        <v>13.530000000000001</v>
      </c>
      <c r="I489" s="668"/>
      <c r="J489" s="668"/>
      <c r="K489" s="668">
        <f>0.01*K$258</f>
        <v>13.530000000000001</v>
      </c>
      <c r="L489" s="666"/>
      <c r="M489" s="666"/>
      <c r="N489" s="666"/>
      <c r="O489" s="666"/>
      <c r="P489" s="666">
        <f>0.25*P$258</f>
        <v>90.199999999999989</v>
      </c>
      <c r="Q489" s="668">
        <f>0.01*Q$258</f>
        <v>40.589999999999996</v>
      </c>
      <c r="R489" s="668">
        <f>0.01*R$258</f>
        <v>40.589999999999996</v>
      </c>
      <c r="S489" s="666">
        <v>0</v>
      </c>
      <c r="T489" s="666">
        <v>0</v>
      </c>
      <c r="U489" s="666">
        <v>0</v>
      </c>
    </row>
    <row r="490" spans="1:21" s="59" customFormat="1" ht="15.75">
      <c r="A490" s="769" t="s">
        <v>503</v>
      </c>
      <c r="B490" s="658" t="s">
        <v>326</v>
      </c>
      <c r="C490" s="404"/>
      <c r="D490" s="641" t="s">
        <v>890</v>
      </c>
      <c r="E490" s="405"/>
      <c r="F490" s="692">
        <f>0.1*F489</f>
        <v>6.1336000000000004</v>
      </c>
      <c r="G490" s="692">
        <f t="shared" ref="G490:R490" si="222">0.1*G489</f>
        <v>2.7060000000000004</v>
      </c>
      <c r="H490" s="692">
        <f t="shared" si="222"/>
        <v>1.3530000000000002</v>
      </c>
      <c r="I490" s="692"/>
      <c r="J490" s="692"/>
      <c r="K490" s="692">
        <f t="shared" si="222"/>
        <v>1.3530000000000002</v>
      </c>
      <c r="L490" s="692"/>
      <c r="M490" s="692"/>
      <c r="N490" s="692"/>
      <c r="O490" s="692"/>
      <c r="P490" s="692">
        <f t="shared" si="222"/>
        <v>9.02</v>
      </c>
      <c r="Q490" s="692">
        <f t="shared" si="222"/>
        <v>4.0590000000000002</v>
      </c>
      <c r="R490" s="692">
        <f t="shared" si="222"/>
        <v>4.0590000000000002</v>
      </c>
      <c r="S490" s="689"/>
      <c r="T490" s="689"/>
      <c r="U490" s="457"/>
    </row>
    <row r="491" spans="1:21" s="432" customFormat="1" ht="15.75">
      <c r="A491" s="526" t="s">
        <v>504</v>
      </c>
      <c r="B491" s="695" t="s">
        <v>135</v>
      </c>
      <c r="C491" s="429"/>
      <c r="D491" s="430" t="s">
        <v>890</v>
      </c>
      <c r="E491" s="431"/>
      <c r="F491" s="692">
        <f>0.15*F489</f>
        <v>9.2004000000000001</v>
      </c>
      <c r="G491" s="692">
        <f t="shared" ref="G491:R491" si="223">0.15*G489</f>
        <v>4.0590000000000002</v>
      </c>
      <c r="H491" s="692">
        <f t="shared" si="223"/>
        <v>2.0295000000000001</v>
      </c>
      <c r="I491" s="692"/>
      <c r="J491" s="692"/>
      <c r="K491" s="692">
        <f t="shared" si="223"/>
        <v>2.0295000000000001</v>
      </c>
      <c r="L491" s="692"/>
      <c r="M491" s="692"/>
      <c r="N491" s="692"/>
      <c r="O491" s="692"/>
      <c r="P491" s="692">
        <f t="shared" si="223"/>
        <v>13.529999999999998</v>
      </c>
      <c r="Q491" s="692">
        <f t="shared" si="223"/>
        <v>6.0884999999999989</v>
      </c>
      <c r="R491" s="692">
        <f t="shared" si="223"/>
        <v>6.0884999999999989</v>
      </c>
      <c r="S491" s="689"/>
      <c r="T491" s="689"/>
      <c r="U491" s="437"/>
    </row>
    <row r="492" spans="1:21" s="432" customFormat="1" ht="15.75">
      <c r="A492" s="657" t="s">
        <v>505</v>
      </c>
      <c r="B492" s="658" t="s">
        <v>105</v>
      </c>
      <c r="C492" s="434"/>
      <c r="D492" s="430" t="s">
        <v>890</v>
      </c>
      <c r="E492" s="435"/>
      <c r="F492" s="692">
        <f t="shared" ref="F492:H492" si="224">0.1*F$489</f>
        <v>6.1336000000000004</v>
      </c>
      <c r="G492" s="692">
        <f t="shared" si="224"/>
        <v>2.7060000000000004</v>
      </c>
      <c r="H492" s="692">
        <f t="shared" si="224"/>
        <v>1.3530000000000002</v>
      </c>
      <c r="I492" s="692"/>
      <c r="J492" s="692"/>
      <c r="K492" s="692">
        <f>0.1*K$489</f>
        <v>1.3530000000000002</v>
      </c>
      <c r="L492" s="692"/>
      <c r="M492" s="692"/>
      <c r="N492" s="692"/>
      <c r="O492" s="692"/>
      <c r="P492" s="692">
        <f t="shared" ref="P492:R492" si="225">0.1*P$489</f>
        <v>9.02</v>
      </c>
      <c r="Q492" s="692">
        <f t="shared" si="225"/>
        <v>4.0590000000000002</v>
      </c>
      <c r="R492" s="692">
        <f t="shared" si="225"/>
        <v>4.0590000000000002</v>
      </c>
      <c r="S492" s="689"/>
      <c r="T492" s="689"/>
      <c r="U492" s="437"/>
    </row>
    <row r="493" spans="1:21" s="59" customFormat="1" ht="15.75">
      <c r="A493" s="769" t="s">
        <v>506</v>
      </c>
      <c r="B493" s="658" t="s">
        <v>142</v>
      </c>
      <c r="C493" s="396"/>
      <c r="D493" s="641" t="s">
        <v>890</v>
      </c>
      <c r="E493" s="397"/>
      <c r="F493" s="692">
        <f>0.3*F$489</f>
        <v>18.4008</v>
      </c>
      <c r="G493" s="692">
        <f>0.3*G$489</f>
        <v>8.1180000000000003</v>
      </c>
      <c r="H493" s="692">
        <f>0.3*H$489</f>
        <v>4.0590000000000002</v>
      </c>
      <c r="I493" s="692"/>
      <c r="J493" s="692"/>
      <c r="K493" s="692">
        <f>0.3*K$489</f>
        <v>4.0590000000000002</v>
      </c>
      <c r="L493" s="692"/>
      <c r="M493" s="692"/>
      <c r="N493" s="692"/>
      <c r="O493" s="692"/>
      <c r="P493" s="692">
        <f>0.3*P$489</f>
        <v>27.059999999999995</v>
      </c>
      <c r="Q493" s="692">
        <f>0.3*Q$489</f>
        <v>12.176999999999998</v>
      </c>
      <c r="R493" s="692">
        <f>0.3*R$489</f>
        <v>12.176999999999998</v>
      </c>
      <c r="S493" s="453"/>
      <c r="T493" s="453"/>
      <c r="U493" s="457"/>
    </row>
    <row r="494" spans="1:21" s="59" customFormat="1" ht="15.75">
      <c r="A494" s="769" t="s">
        <v>507</v>
      </c>
      <c r="B494" s="658" t="s">
        <v>150</v>
      </c>
      <c r="C494" s="404"/>
      <c r="D494" s="641" t="s">
        <v>890</v>
      </c>
      <c r="E494" s="405"/>
      <c r="F494" s="692">
        <f>0.2*F$489</f>
        <v>12.267200000000001</v>
      </c>
      <c r="G494" s="692">
        <f>0.2*G$489</f>
        <v>5.4120000000000008</v>
      </c>
      <c r="H494" s="692">
        <f>0.2*H$489</f>
        <v>2.7060000000000004</v>
      </c>
      <c r="I494" s="692"/>
      <c r="J494" s="692"/>
      <c r="K494" s="692">
        <f>0.2*K$489</f>
        <v>2.7060000000000004</v>
      </c>
      <c r="L494" s="692"/>
      <c r="M494" s="692"/>
      <c r="N494" s="692"/>
      <c r="O494" s="692"/>
      <c r="P494" s="692">
        <f>0.2*P$489</f>
        <v>18.04</v>
      </c>
      <c r="Q494" s="692">
        <f>0.2*Q$489</f>
        <v>8.1180000000000003</v>
      </c>
      <c r="R494" s="692">
        <f>0.2*R$489</f>
        <v>8.1180000000000003</v>
      </c>
      <c r="S494" s="689"/>
      <c r="T494" s="689"/>
      <c r="U494" s="457"/>
    </row>
    <row r="495" spans="1:21" s="432" customFormat="1" ht="15.75">
      <c r="A495" s="526" t="s">
        <v>508</v>
      </c>
      <c r="B495" s="695" t="s">
        <v>213</v>
      </c>
      <c r="C495" s="429"/>
      <c r="D495" s="430" t="s">
        <v>890</v>
      </c>
      <c r="E495" s="431"/>
      <c r="F495" s="692">
        <f>0.15*F489</f>
        <v>9.2004000000000001</v>
      </c>
      <c r="G495" s="692">
        <f t="shared" ref="G495:R495" si="226">0.15*G489</f>
        <v>4.0590000000000002</v>
      </c>
      <c r="H495" s="692">
        <f t="shared" si="226"/>
        <v>2.0295000000000001</v>
      </c>
      <c r="I495" s="692"/>
      <c r="J495" s="692"/>
      <c r="K495" s="692">
        <f t="shared" si="226"/>
        <v>2.0295000000000001</v>
      </c>
      <c r="L495" s="692"/>
      <c r="M495" s="692"/>
      <c r="N495" s="692"/>
      <c r="O495" s="692"/>
      <c r="P495" s="692">
        <f t="shared" si="226"/>
        <v>13.529999999999998</v>
      </c>
      <c r="Q495" s="692">
        <f t="shared" si="226"/>
        <v>6.0884999999999989</v>
      </c>
      <c r="R495" s="692">
        <f t="shared" si="226"/>
        <v>6.0884999999999989</v>
      </c>
      <c r="S495" s="689"/>
      <c r="T495" s="689"/>
      <c r="U495" s="437"/>
    </row>
    <row r="496" spans="1:21" s="284" customFormat="1" ht="15.75">
      <c r="A496" s="769"/>
      <c r="B496" s="656"/>
      <c r="C496" s="404"/>
      <c r="D496" s="641"/>
      <c r="E496" s="405"/>
      <c r="F496" s="664">
        <f t="shared" ref="F496:U496" si="227">F489-SUM(F490:F495)</f>
        <v>0</v>
      </c>
      <c r="G496" s="664">
        <f t="shared" si="227"/>
        <v>0</v>
      </c>
      <c r="H496" s="664">
        <f t="shared" si="227"/>
        <v>0</v>
      </c>
      <c r="I496" s="664">
        <f t="shared" si="227"/>
        <v>0</v>
      </c>
      <c r="J496" s="664">
        <f t="shared" si="227"/>
        <v>0</v>
      </c>
      <c r="K496" s="664">
        <f>K489-SUM(K490:K495)</f>
        <v>0</v>
      </c>
      <c r="L496" s="664">
        <f t="shared" si="227"/>
        <v>0</v>
      </c>
      <c r="M496" s="664">
        <f t="shared" si="227"/>
        <v>0</v>
      </c>
      <c r="N496" s="664">
        <f t="shared" si="227"/>
        <v>0</v>
      </c>
      <c r="O496" s="664">
        <f t="shared" si="227"/>
        <v>0</v>
      </c>
      <c r="P496" s="664">
        <f>P489-SUM(P490:P495)</f>
        <v>0</v>
      </c>
      <c r="Q496" s="664">
        <f t="shared" si="227"/>
        <v>0</v>
      </c>
      <c r="R496" s="664">
        <f t="shared" si="227"/>
        <v>0</v>
      </c>
      <c r="S496" s="664">
        <f t="shared" si="227"/>
        <v>0</v>
      </c>
      <c r="T496" s="664">
        <f t="shared" si="227"/>
        <v>0</v>
      </c>
      <c r="U496" s="664">
        <f t="shared" si="227"/>
        <v>0</v>
      </c>
    </row>
    <row r="497" spans="1:21" s="59" customFormat="1" ht="15.75">
      <c r="A497" s="769"/>
      <c r="B497" s="656"/>
      <c r="C497" s="404"/>
      <c r="D497" s="641"/>
      <c r="E497" s="405"/>
      <c r="F497" s="690"/>
      <c r="G497" s="690"/>
      <c r="H497" s="690"/>
      <c r="I497" s="690"/>
      <c r="J497" s="690"/>
      <c r="K497" s="690"/>
      <c r="L497" s="690"/>
      <c r="M497" s="690"/>
      <c r="N497" s="690"/>
      <c r="O497" s="690"/>
      <c r="P497" s="690"/>
      <c r="Q497" s="690"/>
      <c r="R497" s="690"/>
      <c r="S497" s="690"/>
      <c r="T497" s="690"/>
      <c r="U497" s="690"/>
    </row>
    <row r="498" spans="1:21" s="401" customFormat="1" ht="15.75">
      <c r="A498" s="391" t="s">
        <v>509</v>
      </c>
      <c r="B498" s="693" t="s">
        <v>248</v>
      </c>
      <c r="C498" s="290"/>
      <c r="D498" s="398"/>
      <c r="E498" s="291"/>
      <c r="F498" s="669">
        <f>0.05*F$258</f>
        <v>153.34</v>
      </c>
      <c r="G498" s="669">
        <f>0.05*G$258</f>
        <v>67.650000000000006</v>
      </c>
      <c r="H498" s="820">
        <f>0.06*H$258</f>
        <v>81.179999999999993</v>
      </c>
      <c r="I498" s="669"/>
      <c r="J498" s="669"/>
      <c r="K498" s="820">
        <f>0.06*K$258</f>
        <v>81.179999999999993</v>
      </c>
      <c r="L498" s="669"/>
      <c r="M498" s="669"/>
      <c r="N498" s="669"/>
      <c r="O498" s="669"/>
      <c r="P498" s="669">
        <f>0.2*P$258</f>
        <v>72.16</v>
      </c>
      <c r="Q498" s="820">
        <f>0.01*Q$258</f>
        <v>40.589999999999996</v>
      </c>
      <c r="R498" s="820">
        <f>0.01*R$258</f>
        <v>40.589999999999996</v>
      </c>
      <c r="S498" s="669">
        <v>0</v>
      </c>
      <c r="T498" s="669">
        <v>0</v>
      </c>
      <c r="U498" s="669">
        <v>0</v>
      </c>
    </row>
    <row r="499" spans="1:21" s="59" customFormat="1" ht="15.75">
      <c r="A499" s="426" t="s">
        <v>510</v>
      </c>
      <c r="B499" s="658" t="s">
        <v>326</v>
      </c>
      <c r="C499" s="396"/>
      <c r="D499" s="641" t="s">
        <v>890</v>
      </c>
      <c r="E499" s="397"/>
      <c r="F499" s="691">
        <f>0.2*F$498</f>
        <v>30.668000000000003</v>
      </c>
      <c r="G499" s="691">
        <f>0.2*G$498</f>
        <v>13.530000000000001</v>
      </c>
      <c r="H499" s="691">
        <f>0.2*H$498</f>
        <v>16.236000000000001</v>
      </c>
      <c r="I499" s="691"/>
      <c r="J499" s="691"/>
      <c r="K499" s="691">
        <f>0.2*K$498</f>
        <v>16.236000000000001</v>
      </c>
      <c r="L499" s="691"/>
      <c r="M499" s="691"/>
      <c r="N499" s="691"/>
      <c r="O499" s="691"/>
      <c r="P499" s="691">
        <f>0.2*P$498</f>
        <v>14.432</v>
      </c>
      <c r="Q499" s="691">
        <f>0.2*Q$498</f>
        <v>8.1180000000000003</v>
      </c>
      <c r="R499" s="691">
        <f>0.2*R$498</f>
        <v>8.1180000000000003</v>
      </c>
      <c r="S499" s="327"/>
      <c r="T499" s="327"/>
      <c r="U499" s="454"/>
    </row>
    <row r="500" spans="1:21" s="432" customFormat="1" ht="15.75">
      <c r="A500" s="525" t="s">
        <v>511</v>
      </c>
      <c r="B500" s="695" t="s">
        <v>135</v>
      </c>
      <c r="C500" s="434"/>
      <c r="D500" s="430" t="s">
        <v>890</v>
      </c>
      <c r="E500" s="435"/>
      <c r="F500" s="691">
        <f t="shared" ref="F500:H501" si="228">0.1*F$498</f>
        <v>15.334000000000001</v>
      </c>
      <c r="G500" s="691">
        <f t="shared" si="228"/>
        <v>6.7650000000000006</v>
      </c>
      <c r="H500" s="691">
        <f t="shared" si="228"/>
        <v>8.1180000000000003</v>
      </c>
      <c r="I500" s="691"/>
      <c r="J500" s="691"/>
      <c r="K500" s="691">
        <f>0.1*K$498</f>
        <v>8.1180000000000003</v>
      </c>
      <c r="L500" s="691"/>
      <c r="M500" s="691"/>
      <c r="N500" s="691"/>
      <c r="O500" s="691"/>
      <c r="P500" s="691">
        <f t="shared" ref="P500:R501" si="229">0.1*P$498</f>
        <v>7.2160000000000002</v>
      </c>
      <c r="Q500" s="691">
        <f t="shared" si="229"/>
        <v>4.0590000000000002</v>
      </c>
      <c r="R500" s="691">
        <f t="shared" si="229"/>
        <v>4.0590000000000002</v>
      </c>
      <c r="S500" s="460"/>
      <c r="T500" s="460"/>
      <c r="U500" s="441"/>
    </row>
    <row r="501" spans="1:21" s="432" customFormat="1" ht="15.75">
      <c r="A501" s="525" t="s">
        <v>512</v>
      </c>
      <c r="B501" s="695" t="s">
        <v>105</v>
      </c>
      <c r="C501" s="434"/>
      <c r="D501" s="430" t="s">
        <v>890</v>
      </c>
      <c r="E501" s="435"/>
      <c r="F501" s="691">
        <f t="shared" si="228"/>
        <v>15.334000000000001</v>
      </c>
      <c r="G501" s="691">
        <f t="shared" si="228"/>
        <v>6.7650000000000006</v>
      </c>
      <c r="H501" s="691">
        <f t="shared" si="228"/>
        <v>8.1180000000000003</v>
      </c>
      <c r="I501" s="691"/>
      <c r="J501" s="691"/>
      <c r="K501" s="691">
        <f>0.1*K$498</f>
        <v>8.1180000000000003</v>
      </c>
      <c r="L501" s="691"/>
      <c r="M501" s="691"/>
      <c r="N501" s="691"/>
      <c r="O501" s="691"/>
      <c r="P501" s="691">
        <f t="shared" si="229"/>
        <v>7.2160000000000002</v>
      </c>
      <c r="Q501" s="691">
        <f t="shared" si="229"/>
        <v>4.0590000000000002</v>
      </c>
      <c r="R501" s="691">
        <f t="shared" si="229"/>
        <v>4.0590000000000002</v>
      </c>
      <c r="S501" s="460"/>
      <c r="T501" s="460"/>
      <c r="U501" s="441"/>
    </row>
    <row r="502" spans="1:21" s="59" customFormat="1" ht="15.75">
      <c r="A502" s="426" t="s">
        <v>513</v>
      </c>
      <c r="B502" s="658" t="s">
        <v>142</v>
      </c>
      <c r="C502" s="396"/>
      <c r="D502" s="641" t="s">
        <v>890</v>
      </c>
      <c r="E502" s="397"/>
      <c r="F502" s="691">
        <f>0.3*F$498</f>
        <v>46.002000000000002</v>
      </c>
      <c r="G502" s="691">
        <f>0.3*G$498</f>
        <v>20.295000000000002</v>
      </c>
      <c r="H502" s="691">
        <f>0.3*H$498</f>
        <v>24.353999999999996</v>
      </c>
      <c r="I502" s="691"/>
      <c r="J502" s="691"/>
      <c r="K502" s="691">
        <f>0.3*K$498</f>
        <v>24.353999999999996</v>
      </c>
      <c r="L502" s="691"/>
      <c r="M502" s="691"/>
      <c r="N502" s="691"/>
      <c r="O502" s="691"/>
      <c r="P502" s="691">
        <f>0.3*P$498</f>
        <v>21.648</v>
      </c>
      <c r="Q502" s="691">
        <f>0.3*Q$498</f>
        <v>12.176999999999998</v>
      </c>
      <c r="R502" s="691">
        <f>0.3*R$498</f>
        <v>12.176999999999998</v>
      </c>
      <c r="S502" s="327"/>
      <c r="T502" s="327"/>
      <c r="U502" s="454"/>
    </row>
    <row r="503" spans="1:21" s="59" customFormat="1" ht="15.75">
      <c r="A503" s="426" t="s">
        <v>514</v>
      </c>
      <c r="B503" s="658" t="s">
        <v>150</v>
      </c>
      <c r="C503" s="396"/>
      <c r="D503" s="641" t="s">
        <v>890</v>
      </c>
      <c r="E503" s="397"/>
      <c r="F503" s="691">
        <f t="shared" ref="F503:R503" si="230">0.2*F$498</f>
        <v>30.668000000000003</v>
      </c>
      <c r="G503" s="691">
        <f t="shared" si="230"/>
        <v>13.530000000000001</v>
      </c>
      <c r="H503" s="691">
        <f t="shared" si="230"/>
        <v>16.236000000000001</v>
      </c>
      <c r="I503" s="691"/>
      <c r="J503" s="691"/>
      <c r="K503" s="691">
        <f t="shared" si="230"/>
        <v>16.236000000000001</v>
      </c>
      <c r="L503" s="691"/>
      <c r="M503" s="691"/>
      <c r="N503" s="691"/>
      <c r="O503" s="691"/>
      <c r="P503" s="691">
        <f t="shared" si="230"/>
        <v>14.432</v>
      </c>
      <c r="Q503" s="691">
        <f t="shared" si="230"/>
        <v>8.1180000000000003</v>
      </c>
      <c r="R503" s="691">
        <f t="shared" si="230"/>
        <v>8.1180000000000003</v>
      </c>
      <c r="S503" s="327"/>
      <c r="T503" s="327"/>
      <c r="U503" s="454"/>
    </row>
    <row r="504" spans="1:21" s="432" customFormat="1" ht="15.75">
      <c r="A504" s="525" t="s">
        <v>515</v>
      </c>
      <c r="B504" s="695" t="s">
        <v>213</v>
      </c>
      <c r="C504" s="434"/>
      <c r="D504" s="430" t="s">
        <v>890</v>
      </c>
      <c r="E504" s="435"/>
      <c r="F504" s="691">
        <f>0.1*F$498</f>
        <v>15.334000000000001</v>
      </c>
      <c r="G504" s="691">
        <f>0.1*G$498</f>
        <v>6.7650000000000006</v>
      </c>
      <c r="H504" s="691">
        <f>0.1*H$498</f>
        <v>8.1180000000000003</v>
      </c>
      <c r="I504" s="691"/>
      <c r="J504" s="691"/>
      <c r="K504" s="691">
        <f>0.1*K$498</f>
        <v>8.1180000000000003</v>
      </c>
      <c r="L504" s="691"/>
      <c r="M504" s="691"/>
      <c r="N504" s="691"/>
      <c r="O504" s="691"/>
      <c r="P504" s="691">
        <f>0.1*P$498</f>
        <v>7.2160000000000002</v>
      </c>
      <c r="Q504" s="691">
        <f>0.1*Q$498</f>
        <v>4.0590000000000002</v>
      </c>
      <c r="R504" s="691">
        <f>0.1*R$498</f>
        <v>4.0590000000000002</v>
      </c>
      <c r="S504" s="460"/>
      <c r="T504" s="460"/>
      <c r="U504" s="441"/>
    </row>
    <row r="505" spans="1:21" s="284" customFormat="1" ht="15.75">
      <c r="A505" s="426"/>
      <c r="B505" s="656"/>
      <c r="C505" s="396"/>
      <c r="D505" s="641"/>
      <c r="E505" s="397"/>
      <c r="F505" s="664">
        <f t="shared" ref="F505:U505" si="231">F498-SUM(F499:F504)</f>
        <v>0</v>
      </c>
      <c r="G505" s="664">
        <f t="shared" si="231"/>
        <v>0</v>
      </c>
      <c r="H505" s="664">
        <f t="shared" si="231"/>
        <v>0</v>
      </c>
      <c r="I505" s="664">
        <f t="shared" si="231"/>
        <v>0</v>
      </c>
      <c r="J505" s="664">
        <f t="shared" si="231"/>
        <v>0</v>
      </c>
      <c r="K505" s="664">
        <f>K498-SUM(K499:K504)</f>
        <v>0</v>
      </c>
      <c r="L505" s="664">
        <f t="shared" si="231"/>
        <v>0</v>
      </c>
      <c r="M505" s="664">
        <f t="shared" si="231"/>
        <v>0</v>
      </c>
      <c r="N505" s="664">
        <f t="shared" si="231"/>
        <v>0</v>
      </c>
      <c r="O505" s="664">
        <f t="shared" si="231"/>
        <v>0</v>
      </c>
      <c r="P505" s="664">
        <f>P498-SUM(P499:P504)</f>
        <v>0</v>
      </c>
      <c r="Q505" s="664">
        <f t="shared" si="231"/>
        <v>0</v>
      </c>
      <c r="R505" s="664">
        <f t="shared" si="231"/>
        <v>0</v>
      </c>
      <c r="S505" s="664">
        <f t="shared" si="231"/>
        <v>0</v>
      </c>
      <c r="T505" s="664">
        <f t="shared" si="231"/>
        <v>0</v>
      </c>
      <c r="U505" s="664">
        <f t="shared" si="231"/>
        <v>0</v>
      </c>
    </row>
    <row r="506" spans="1:21" s="59" customFormat="1" ht="15.75">
      <c r="A506" s="769"/>
      <c r="B506" s="656"/>
      <c r="C506" s="404"/>
      <c r="D506" s="641"/>
      <c r="E506" s="405"/>
      <c r="F506" s="690"/>
      <c r="G506" s="690"/>
      <c r="H506" s="690"/>
      <c r="I506" s="690"/>
      <c r="J506" s="690"/>
      <c r="K506" s="690"/>
      <c r="L506" s="690"/>
      <c r="M506" s="690"/>
      <c r="N506" s="690"/>
      <c r="O506" s="690"/>
      <c r="P506" s="690"/>
      <c r="Q506" s="690"/>
      <c r="R506" s="690"/>
      <c r="S506" s="690"/>
      <c r="T506" s="690"/>
      <c r="U506" s="690"/>
    </row>
    <row r="507" spans="1:21" s="288" customFormat="1" ht="15.75">
      <c r="A507" s="417" t="s">
        <v>516</v>
      </c>
      <c r="B507" s="693" t="s">
        <v>253</v>
      </c>
      <c r="C507" s="427"/>
      <c r="D507" s="398"/>
      <c r="E507" s="399"/>
      <c r="F507" s="666"/>
      <c r="G507" s="666"/>
      <c r="H507" s="668">
        <f>0.01*H$258</f>
        <v>13.530000000000001</v>
      </c>
      <c r="I507" s="666"/>
      <c r="J507" s="666"/>
      <c r="K507" s="668">
        <f>0.01*K$258</f>
        <v>13.530000000000001</v>
      </c>
      <c r="L507" s="668">
        <f>0.005*L$258</f>
        <v>13.530000000000001</v>
      </c>
      <c r="M507" s="668">
        <f>0.01*M$258</f>
        <v>13.530000000000001</v>
      </c>
      <c r="N507" s="668">
        <f>0.15*N$258</f>
        <v>202.95</v>
      </c>
      <c r="O507" s="668">
        <f>0.15*O$258</f>
        <v>202.95</v>
      </c>
      <c r="P507" s="668"/>
      <c r="Q507" s="668">
        <f>0.01*Q$258</f>
        <v>40.589999999999996</v>
      </c>
      <c r="R507" s="668">
        <f>0.01*R$258</f>
        <v>40.589999999999996</v>
      </c>
      <c r="S507" s="666">
        <v>0</v>
      </c>
      <c r="T507" s="666">
        <v>0</v>
      </c>
      <c r="U507" s="666">
        <v>0</v>
      </c>
    </row>
    <row r="508" spans="1:21" s="59" customFormat="1" ht="15.75">
      <c r="A508" s="769" t="s">
        <v>518</v>
      </c>
      <c r="B508" s="658" t="s">
        <v>326</v>
      </c>
      <c r="C508" s="404"/>
      <c r="D508" s="641" t="s">
        <v>890</v>
      </c>
      <c r="E508" s="405"/>
      <c r="F508" s="692"/>
      <c r="G508" s="692"/>
      <c r="H508" s="692">
        <f>0.2*H$507</f>
        <v>2.7060000000000004</v>
      </c>
      <c r="I508" s="692"/>
      <c r="J508" s="692"/>
      <c r="K508" s="692">
        <f>0.2*K$507</f>
        <v>2.7060000000000004</v>
      </c>
      <c r="L508" s="692">
        <f t="shared" ref="L508:R508" si="232">0.2*L$507</f>
        <v>2.7060000000000004</v>
      </c>
      <c r="M508" s="692">
        <f t="shared" si="232"/>
        <v>2.7060000000000004</v>
      </c>
      <c r="N508" s="692">
        <f t="shared" si="232"/>
        <v>40.590000000000003</v>
      </c>
      <c r="O508" s="692">
        <f t="shared" si="232"/>
        <v>40.590000000000003</v>
      </c>
      <c r="P508" s="692"/>
      <c r="Q508" s="692">
        <f t="shared" si="232"/>
        <v>8.1180000000000003</v>
      </c>
      <c r="R508" s="692">
        <f t="shared" si="232"/>
        <v>8.1180000000000003</v>
      </c>
      <c r="S508" s="689"/>
      <c r="T508" s="689"/>
      <c r="U508" s="457"/>
    </row>
    <row r="509" spans="1:21" s="432" customFormat="1" ht="15.75">
      <c r="A509" s="526" t="s">
        <v>519</v>
      </c>
      <c r="B509" s="695" t="s">
        <v>135</v>
      </c>
      <c r="C509" s="429"/>
      <c r="D509" s="430" t="s">
        <v>890</v>
      </c>
      <c r="E509" s="431"/>
      <c r="F509" s="692"/>
      <c r="G509" s="692"/>
      <c r="H509" s="692">
        <f>0.2*H507</f>
        <v>2.7060000000000004</v>
      </c>
      <c r="I509" s="692"/>
      <c r="J509" s="692"/>
      <c r="K509" s="692">
        <f t="shared" ref="K509:R509" si="233">0.2*K507</f>
        <v>2.7060000000000004</v>
      </c>
      <c r="L509" s="692">
        <f t="shared" si="233"/>
        <v>2.7060000000000004</v>
      </c>
      <c r="M509" s="692">
        <f t="shared" si="233"/>
        <v>2.7060000000000004</v>
      </c>
      <c r="N509" s="692">
        <f t="shared" si="233"/>
        <v>40.590000000000003</v>
      </c>
      <c r="O509" s="692">
        <f t="shared" si="233"/>
        <v>40.590000000000003</v>
      </c>
      <c r="P509" s="692"/>
      <c r="Q509" s="692">
        <f t="shared" si="233"/>
        <v>8.1180000000000003</v>
      </c>
      <c r="R509" s="692">
        <f t="shared" si="233"/>
        <v>8.1180000000000003</v>
      </c>
      <c r="S509" s="689"/>
      <c r="T509" s="689"/>
      <c r="U509" s="437"/>
    </row>
    <row r="510" spans="1:21" s="432" customFormat="1" ht="15.75">
      <c r="A510" s="657" t="s">
        <v>520</v>
      </c>
      <c r="B510" s="658" t="s">
        <v>105</v>
      </c>
      <c r="C510" s="434"/>
      <c r="D510" s="430" t="s">
        <v>890</v>
      </c>
      <c r="E510" s="435"/>
      <c r="F510" s="692"/>
      <c r="G510" s="692"/>
      <c r="H510" s="692">
        <f>0.1*H$507</f>
        <v>1.3530000000000002</v>
      </c>
      <c r="I510" s="692"/>
      <c r="J510" s="692"/>
      <c r="K510" s="692">
        <f>0.1*K$507</f>
        <v>1.3530000000000002</v>
      </c>
      <c r="L510" s="692">
        <f t="shared" ref="L510:R510" si="234">0.1*L$507</f>
        <v>1.3530000000000002</v>
      </c>
      <c r="M510" s="692">
        <f t="shared" si="234"/>
        <v>1.3530000000000002</v>
      </c>
      <c r="N510" s="692">
        <f t="shared" si="234"/>
        <v>20.295000000000002</v>
      </c>
      <c r="O510" s="692">
        <f t="shared" si="234"/>
        <v>20.295000000000002</v>
      </c>
      <c r="P510" s="692"/>
      <c r="Q510" s="692">
        <f t="shared" si="234"/>
        <v>4.0590000000000002</v>
      </c>
      <c r="R510" s="692">
        <f t="shared" si="234"/>
        <v>4.0590000000000002</v>
      </c>
      <c r="S510" s="689"/>
      <c r="T510" s="689"/>
      <c r="U510" s="437"/>
    </row>
    <row r="511" spans="1:21" s="59" customFormat="1" ht="15.75">
      <c r="A511" s="769" t="s">
        <v>521</v>
      </c>
      <c r="B511" s="658" t="s">
        <v>142</v>
      </c>
      <c r="C511" s="396"/>
      <c r="D511" s="641" t="s">
        <v>890</v>
      </c>
      <c r="E511" s="397"/>
      <c r="F511" s="692"/>
      <c r="G511" s="692"/>
      <c r="H511" s="692">
        <f>0.2*H507</f>
        <v>2.7060000000000004</v>
      </c>
      <c r="I511" s="692"/>
      <c r="J511" s="692"/>
      <c r="K511" s="692">
        <f t="shared" ref="K511:R511" si="235">0.2*K507</f>
        <v>2.7060000000000004</v>
      </c>
      <c r="L511" s="692">
        <f t="shared" si="235"/>
        <v>2.7060000000000004</v>
      </c>
      <c r="M511" s="692">
        <f t="shared" si="235"/>
        <v>2.7060000000000004</v>
      </c>
      <c r="N511" s="692">
        <f t="shared" si="235"/>
        <v>40.590000000000003</v>
      </c>
      <c r="O511" s="692">
        <f t="shared" si="235"/>
        <v>40.590000000000003</v>
      </c>
      <c r="P511" s="692"/>
      <c r="Q511" s="692">
        <f t="shared" si="235"/>
        <v>8.1180000000000003</v>
      </c>
      <c r="R511" s="692">
        <f t="shared" si="235"/>
        <v>8.1180000000000003</v>
      </c>
      <c r="S511" s="453"/>
      <c r="T511" s="453"/>
      <c r="U511" s="457"/>
    </row>
    <row r="512" spans="1:21" s="59" customFormat="1" ht="15.75">
      <c r="A512" s="769" t="s">
        <v>522</v>
      </c>
      <c r="B512" s="658" t="s">
        <v>150</v>
      </c>
      <c r="C512" s="404"/>
      <c r="D512" s="641" t="s">
        <v>890</v>
      </c>
      <c r="E512" s="405"/>
      <c r="F512" s="692"/>
      <c r="G512" s="692"/>
      <c r="H512" s="692">
        <f>0.1*H$507</f>
        <v>1.3530000000000002</v>
      </c>
      <c r="I512" s="692"/>
      <c r="J512" s="692"/>
      <c r="K512" s="692">
        <f>0.1*K$507</f>
        <v>1.3530000000000002</v>
      </c>
      <c r="L512" s="692">
        <f t="shared" ref="L512:R514" si="236">0.1*L$507</f>
        <v>1.3530000000000002</v>
      </c>
      <c r="M512" s="692">
        <f t="shared" si="236"/>
        <v>1.3530000000000002</v>
      </c>
      <c r="N512" s="692">
        <f t="shared" si="236"/>
        <v>20.295000000000002</v>
      </c>
      <c r="O512" s="692">
        <f t="shared" si="236"/>
        <v>20.295000000000002</v>
      </c>
      <c r="P512" s="692"/>
      <c r="Q512" s="692">
        <f t="shared" si="236"/>
        <v>4.0590000000000002</v>
      </c>
      <c r="R512" s="692">
        <f t="shared" si="236"/>
        <v>4.0590000000000002</v>
      </c>
      <c r="S512" s="689"/>
      <c r="T512" s="689"/>
      <c r="U512" s="457"/>
    </row>
    <row r="513" spans="1:21" s="432" customFormat="1" ht="15.75">
      <c r="A513" s="526" t="s">
        <v>523</v>
      </c>
      <c r="B513" s="695" t="s">
        <v>213</v>
      </c>
      <c r="C513" s="429"/>
      <c r="D513" s="430" t="s">
        <v>890</v>
      </c>
      <c r="E513" s="431"/>
      <c r="F513" s="692"/>
      <c r="G513" s="692"/>
      <c r="H513" s="692">
        <f>0.1*H$507</f>
        <v>1.3530000000000002</v>
      </c>
      <c r="I513" s="692"/>
      <c r="J513" s="692"/>
      <c r="K513" s="692">
        <f>0.1*K$507</f>
        <v>1.3530000000000002</v>
      </c>
      <c r="L513" s="692">
        <f t="shared" si="236"/>
        <v>1.3530000000000002</v>
      </c>
      <c r="M513" s="692">
        <f t="shared" si="236"/>
        <v>1.3530000000000002</v>
      </c>
      <c r="N513" s="692">
        <f t="shared" si="236"/>
        <v>20.295000000000002</v>
      </c>
      <c r="O513" s="692">
        <f t="shared" si="236"/>
        <v>20.295000000000002</v>
      </c>
      <c r="P513" s="692"/>
      <c r="Q513" s="692">
        <f t="shared" si="236"/>
        <v>4.0590000000000002</v>
      </c>
      <c r="R513" s="692">
        <f t="shared" si="236"/>
        <v>4.0590000000000002</v>
      </c>
      <c r="S513" s="689"/>
      <c r="T513" s="689"/>
      <c r="U513" s="437"/>
    </row>
    <row r="514" spans="1:21" s="59" customFormat="1" ht="15.75">
      <c r="A514" s="769" t="s">
        <v>905</v>
      </c>
      <c r="B514" s="658" t="s">
        <v>152</v>
      </c>
      <c r="C514" s="404"/>
      <c r="D514" s="430" t="s">
        <v>890</v>
      </c>
      <c r="E514" s="405"/>
      <c r="F514" s="692"/>
      <c r="G514" s="692"/>
      <c r="H514" s="692">
        <f>0.1*H$507</f>
        <v>1.3530000000000002</v>
      </c>
      <c r="I514" s="692"/>
      <c r="J514" s="692"/>
      <c r="K514" s="692">
        <f>0.1*K$507</f>
        <v>1.3530000000000002</v>
      </c>
      <c r="L514" s="692">
        <f t="shared" si="236"/>
        <v>1.3530000000000002</v>
      </c>
      <c r="M514" s="692">
        <f t="shared" si="236"/>
        <v>1.3530000000000002</v>
      </c>
      <c r="N514" s="692">
        <f t="shared" si="236"/>
        <v>20.295000000000002</v>
      </c>
      <c r="O514" s="692">
        <f t="shared" si="236"/>
        <v>20.295000000000002</v>
      </c>
      <c r="P514" s="692"/>
      <c r="Q514" s="692">
        <f t="shared" si="236"/>
        <v>4.0590000000000002</v>
      </c>
      <c r="R514" s="692">
        <f t="shared" si="236"/>
        <v>4.0590000000000002</v>
      </c>
      <c r="S514" s="451"/>
      <c r="T514" s="451"/>
      <c r="U514" s="451"/>
    </row>
    <row r="515" spans="1:21" s="318" customFormat="1" ht="15.75">
      <c r="A515" s="769"/>
      <c r="B515" s="656"/>
      <c r="C515" s="404"/>
      <c r="D515" s="641"/>
      <c r="E515" s="405"/>
      <c r="F515" s="664">
        <f t="shared" ref="F515:U515" si="237">F507-SUM(F508:F514)</f>
        <v>0</v>
      </c>
      <c r="G515" s="664">
        <f t="shared" si="237"/>
        <v>0</v>
      </c>
      <c r="H515" s="664">
        <f t="shared" si="237"/>
        <v>0</v>
      </c>
      <c r="I515" s="664">
        <f t="shared" si="237"/>
        <v>0</v>
      </c>
      <c r="J515" s="664">
        <f t="shared" si="237"/>
        <v>0</v>
      </c>
      <c r="K515" s="664">
        <f>K507-SUM(K508:K514)</f>
        <v>0</v>
      </c>
      <c r="L515" s="664">
        <f t="shared" si="237"/>
        <v>0</v>
      </c>
      <c r="M515" s="664">
        <f t="shared" si="237"/>
        <v>0</v>
      </c>
      <c r="N515" s="664">
        <f t="shared" si="237"/>
        <v>0</v>
      </c>
      <c r="O515" s="664">
        <f t="shared" si="237"/>
        <v>0</v>
      </c>
      <c r="P515" s="664"/>
      <c r="Q515" s="664">
        <f t="shared" si="237"/>
        <v>0</v>
      </c>
      <c r="R515" s="664">
        <f t="shared" si="237"/>
        <v>0</v>
      </c>
      <c r="S515" s="664">
        <f t="shared" si="237"/>
        <v>0</v>
      </c>
      <c r="T515" s="664">
        <f t="shared" si="237"/>
        <v>0</v>
      </c>
      <c r="U515" s="664">
        <f t="shared" si="237"/>
        <v>0</v>
      </c>
    </row>
    <row r="516" spans="1:21" s="59" customFormat="1" ht="15.75">
      <c r="A516" s="769"/>
      <c r="B516" s="656"/>
      <c r="C516" s="404"/>
      <c r="D516" s="641"/>
      <c r="E516" s="405"/>
      <c r="F516" s="690"/>
      <c r="G516" s="690"/>
      <c r="H516" s="690"/>
      <c r="I516" s="690"/>
      <c r="J516" s="690"/>
      <c r="K516" s="690"/>
      <c r="L516" s="690"/>
      <c r="M516" s="690"/>
      <c r="N516" s="690"/>
      <c r="O516" s="690"/>
      <c r="P516" s="690"/>
      <c r="Q516" s="690"/>
      <c r="R516" s="690"/>
      <c r="S516" s="690"/>
      <c r="T516" s="690"/>
      <c r="U516" s="690"/>
    </row>
    <row r="517" spans="1:21" s="401" customFormat="1" ht="15.75">
      <c r="A517" s="417" t="s">
        <v>524</v>
      </c>
      <c r="B517" s="693" t="s">
        <v>259</v>
      </c>
      <c r="C517" s="290"/>
      <c r="D517" s="398"/>
      <c r="E517" s="399"/>
      <c r="F517" s="669">
        <f>0.06*F$258</f>
        <v>184.00799999999998</v>
      </c>
      <c r="G517" s="669">
        <f>0.01*G$258</f>
        <v>13.530000000000001</v>
      </c>
      <c r="H517" s="820">
        <f>0.01*H$258</f>
        <v>13.530000000000001</v>
      </c>
      <c r="I517" s="669"/>
      <c r="J517" s="669"/>
      <c r="K517" s="820">
        <f>0.01*K$258</f>
        <v>13.530000000000001</v>
      </c>
      <c r="L517" s="820">
        <f>0.05*L$258</f>
        <v>135.30000000000001</v>
      </c>
      <c r="M517" s="820">
        <f>0.01*M$258</f>
        <v>13.530000000000001</v>
      </c>
      <c r="N517" s="820">
        <f>0.45*N$258</f>
        <v>608.85</v>
      </c>
      <c r="O517" s="820">
        <f>0.45*O$258</f>
        <v>608.85</v>
      </c>
      <c r="P517" s="669"/>
      <c r="Q517" s="820">
        <f>0.02*Q$258</f>
        <v>81.179999999999993</v>
      </c>
      <c r="R517" s="820">
        <f>0.027*R$258</f>
        <v>109.59299999999999</v>
      </c>
      <c r="S517" s="669">
        <v>0</v>
      </c>
      <c r="T517" s="669">
        <v>0</v>
      </c>
      <c r="U517" s="669">
        <v>0</v>
      </c>
    </row>
    <row r="518" spans="1:21" s="59" customFormat="1" ht="15.75">
      <c r="A518" s="426" t="s">
        <v>525</v>
      </c>
      <c r="B518" s="658" t="s">
        <v>326</v>
      </c>
      <c r="C518" s="396"/>
      <c r="D518" s="641" t="s">
        <v>890</v>
      </c>
      <c r="E518" s="397"/>
      <c r="F518" s="691">
        <f>0.2*F$517</f>
        <v>36.801600000000001</v>
      </c>
      <c r="G518" s="691">
        <f t="shared" ref="G518:R518" si="238">0.2*G$517</f>
        <v>2.7060000000000004</v>
      </c>
      <c r="H518" s="691">
        <f t="shared" si="238"/>
        <v>2.7060000000000004</v>
      </c>
      <c r="I518" s="691"/>
      <c r="J518" s="691"/>
      <c r="K518" s="691">
        <f t="shared" si="238"/>
        <v>2.7060000000000004</v>
      </c>
      <c r="L518" s="691">
        <f t="shared" si="238"/>
        <v>27.060000000000002</v>
      </c>
      <c r="M518" s="691">
        <f t="shared" si="238"/>
        <v>2.7060000000000004</v>
      </c>
      <c r="N518" s="691">
        <f t="shared" si="238"/>
        <v>121.77000000000001</v>
      </c>
      <c r="O518" s="691">
        <f t="shared" si="238"/>
        <v>121.77000000000001</v>
      </c>
      <c r="P518" s="691"/>
      <c r="Q518" s="691">
        <f t="shared" si="238"/>
        <v>16.236000000000001</v>
      </c>
      <c r="R518" s="691">
        <f t="shared" si="238"/>
        <v>21.918599999999998</v>
      </c>
      <c r="S518" s="327"/>
      <c r="T518" s="327"/>
      <c r="U518" s="454"/>
    </row>
    <row r="519" spans="1:21" s="432" customFormat="1" ht="15.75">
      <c r="A519" s="525" t="s">
        <v>526</v>
      </c>
      <c r="B519" s="695" t="s">
        <v>135</v>
      </c>
      <c r="C519" s="434"/>
      <c r="D519" s="430" t="s">
        <v>890</v>
      </c>
      <c r="E519" s="435"/>
      <c r="F519" s="691">
        <f>0.1*F$517</f>
        <v>18.4008</v>
      </c>
      <c r="G519" s="691">
        <f t="shared" ref="G519:R519" si="239">0.1*G$517</f>
        <v>1.3530000000000002</v>
      </c>
      <c r="H519" s="691">
        <f t="shared" si="239"/>
        <v>1.3530000000000002</v>
      </c>
      <c r="I519" s="691"/>
      <c r="J519" s="691"/>
      <c r="K519" s="691">
        <f t="shared" si="239"/>
        <v>1.3530000000000002</v>
      </c>
      <c r="L519" s="691">
        <f t="shared" si="239"/>
        <v>13.530000000000001</v>
      </c>
      <c r="M519" s="691">
        <f t="shared" si="239"/>
        <v>1.3530000000000002</v>
      </c>
      <c r="N519" s="691">
        <f t="shared" si="239"/>
        <v>60.885000000000005</v>
      </c>
      <c r="O519" s="691">
        <f t="shared" si="239"/>
        <v>60.885000000000005</v>
      </c>
      <c r="P519" s="691"/>
      <c r="Q519" s="691">
        <f t="shared" si="239"/>
        <v>8.1180000000000003</v>
      </c>
      <c r="R519" s="691">
        <f t="shared" si="239"/>
        <v>10.959299999999999</v>
      </c>
      <c r="S519" s="460"/>
      <c r="T519" s="460"/>
      <c r="U519" s="441"/>
    </row>
    <row r="520" spans="1:21" s="432" customFormat="1" ht="15.75">
      <c r="A520" s="525" t="s">
        <v>527</v>
      </c>
      <c r="B520" s="695" t="s">
        <v>105</v>
      </c>
      <c r="C520" s="434"/>
      <c r="D520" s="430" t="s">
        <v>890</v>
      </c>
      <c r="E520" s="435"/>
      <c r="F520" s="691">
        <f t="shared" ref="F520:R524" si="240">0.1*F$517</f>
        <v>18.4008</v>
      </c>
      <c r="G520" s="691">
        <f t="shared" si="240"/>
        <v>1.3530000000000002</v>
      </c>
      <c r="H520" s="691">
        <f t="shared" si="240"/>
        <v>1.3530000000000002</v>
      </c>
      <c r="I520" s="691"/>
      <c r="J520" s="691"/>
      <c r="K520" s="691">
        <f t="shared" si="240"/>
        <v>1.3530000000000002</v>
      </c>
      <c r="L520" s="691">
        <f t="shared" si="240"/>
        <v>13.530000000000001</v>
      </c>
      <c r="M520" s="691">
        <f t="shared" si="240"/>
        <v>1.3530000000000002</v>
      </c>
      <c r="N520" s="691">
        <f t="shared" si="240"/>
        <v>60.885000000000005</v>
      </c>
      <c r="O520" s="691">
        <f t="shared" si="240"/>
        <v>60.885000000000005</v>
      </c>
      <c r="P520" s="691"/>
      <c r="Q520" s="691">
        <f t="shared" si="240"/>
        <v>8.1180000000000003</v>
      </c>
      <c r="R520" s="691">
        <f t="shared" si="240"/>
        <v>10.959299999999999</v>
      </c>
      <c r="S520" s="460"/>
      <c r="T520" s="460"/>
      <c r="U520" s="441"/>
    </row>
    <row r="521" spans="1:21" s="59" customFormat="1" ht="15.75">
      <c r="A521" s="426" t="s">
        <v>528</v>
      </c>
      <c r="B521" s="658" t="s">
        <v>142</v>
      </c>
      <c r="C521" s="396"/>
      <c r="D521" s="641" t="s">
        <v>890</v>
      </c>
      <c r="E521" s="397"/>
      <c r="F521" s="691">
        <f>0.3*F$517</f>
        <v>55.20239999999999</v>
      </c>
      <c r="G521" s="691">
        <f t="shared" ref="G521:R521" si="241">0.3*G$517</f>
        <v>4.0590000000000002</v>
      </c>
      <c r="H521" s="691">
        <f t="shared" si="241"/>
        <v>4.0590000000000002</v>
      </c>
      <c r="I521" s="691"/>
      <c r="J521" s="691"/>
      <c r="K521" s="691">
        <f t="shared" si="241"/>
        <v>4.0590000000000002</v>
      </c>
      <c r="L521" s="691">
        <f t="shared" si="241"/>
        <v>40.590000000000003</v>
      </c>
      <c r="M521" s="691">
        <f t="shared" si="241"/>
        <v>4.0590000000000002</v>
      </c>
      <c r="N521" s="691">
        <f t="shared" si="241"/>
        <v>182.655</v>
      </c>
      <c r="O521" s="691">
        <f t="shared" si="241"/>
        <v>182.655</v>
      </c>
      <c r="P521" s="691"/>
      <c r="Q521" s="691">
        <f t="shared" si="241"/>
        <v>24.353999999999996</v>
      </c>
      <c r="R521" s="691">
        <f t="shared" si="241"/>
        <v>32.877899999999997</v>
      </c>
      <c r="S521" s="327"/>
      <c r="T521" s="327"/>
      <c r="U521" s="454"/>
    </row>
    <row r="522" spans="1:21" s="59" customFormat="1" ht="15.75">
      <c r="A522" s="426" t="s">
        <v>529</v>
      </c>
      <c r="B522" s="658" t="s">
        <v>150</v>
      </c>
      <c r="C522" s="396"/>
      <c r="D522" s="641" t="s">
        <v>890</v>
      </c>
      <c r="E522" s="397"/>
      <c r="F522" s="691">
        <f t="shared" si="240"/>
        <v>18.4008</v>
      </c>
      <c r="G522" s="691">
        <f t="shared" si="240"/>
        <v>1.3530000000000002</v>
      </c>
      <c r="H522" s="691">
        <f t="shared" si="240"/>
        <v>1.3530000000000002</v>
      </c>
      <c r="I522" s="691"/>
      <c r="J522" s="691"/>
      <c r="K522" s="691">
        <f t="shared" si="240"/>
        <v>1.3530000000000002</v>
      </c>
      <c r="L522" s="691">
        <f t="shared" si="240"/>
        <v>13.530000000000001</v>
      </c>
      <c r="M522" s="691">
        <f t="shared" si="240"/>
        <v>1.3530000000000002</v>
      </c>
      <c r="N522" s="691">
        <f t="shared" si="240"/>
        <v>60.885000000000005</v>
      </c>
      <c r="O522" s="691">
        <f t="shared" si="240"/>
        <v>60.885000000000005</v>
      </c>
      <c r="P522" s="691"/>
      <c r="Q522" s="691">
        <f t="shared" si="240"/>
        <v>8.1180000000000003</v>
      </c>
      <c r="R522" s="691">
        <f t="shared" si="240"/>
        <v>10.959299999999999</v>
      </c>
      <c r="S522" s="327"/>
      <c r="T522" s="327"/>
      <c r="U522" s="454"/>
    </row>
    <row r="523" spans="1:21" s="432" customFormat="1" ht="15.75">
      <c r="A523" s="525" t="s">
        <v>530</v>
      </c>
      <c r="B523" s="695" t="s">
        <v>213</v>
      </c>
      <c r="C523" s="434"/>
      <c r="D523" s="430" t="s">
        <v>890</v>
      </c>
      <c r="E523" s="435"/>
      <c r="F523" s="691">
        <f t="shared" si="240"/>
        <v>18.4008</v>
      </c>
      <c r="G523" s="691">
        <f t="shared" si="240"/>
        <v>1.3530000000000002</v>
      </c>
      <c r="H523" s="691">
        <f t="shared" si="240"/>
        <v>1.3530000000000002</v>
      </c>
      <c r="I523" s="691"/>
      <c r="J523" s="691"/>
      <c r="K523" s="691">
        <f t="shared" si="240"/>
        <v>1.3530000000000002</v>
      </c>
      <c r="L523" s="691">
        <f t="shared" si="240"/>
        <v>13.530000000000001</v>
      </c>
      <c r="M523" s="691">
        <f t="shared" si="240"/>
        <v>1.3530000000000002</v>
      </c>
      <c r="N523" s="691">
        <f t="shared" si="240"/>
        <v>60.885000000000005</v>
      </c>
      <c r="O523" s="691">
        <f t="shared" si="240"/>
        <v>60.885000000000005</v>
      </c>
      <c r="P523" s="691"/>
      <c r="Q523" s="691">
        <f t="shared" si="240"/>
        <v>8.1180000000000003</v>
      </c>
      <c r="R523" s="691">
        <f t="shared" si="240"/>
        <v>10.959299999999999</v>
      </c>
      <c r="S523" s="460"/>
      <c r="T523" s="460"/>
      <c r="U523" s="441"/>
    </row>
    <row r="524" spans="1:21" s="59" customFormat="1" ht="15.75">
      <c r="A524" s="426" t="s">
        <v>531</v>
      </c>
      <c r="B524" s="658" t="s">
        <v>152</v>
      </c>
      <c r="C524" s="396"/>
      <c r="D524" s="430" t="s">
        <v>890</v>
      </c>
      <c r="E524" s="397"/>
      <c r="F524" s="691">
        <f t="shared" si="240"/>
        <v>18.4008</v>
      </c>
      <c r="G524" s="691">
        <f t="shared" si="240"/>
        <v>1.3530000000000002</v>
      </c>
      <c r="H524" s="691">
        <f t="shared" si="240"/>
        <v>1.3530000000000002</v>
      </c>
      <c r="I524" s="691"/>
      <c r="J524" s="691"/>
      <c r="K524" s="691">
        <f>0.1*K$517</f>
        <v>1.3530000000000002</v>
      </c>
      <c r="L524" s="691">
        <f t="shared" si="240"/>
        <v>13.530000000000001</v>
      </c>
      <c r="M524" s="691">
        <f t="shared" si="240"/>
        <v>1.3530000000000002</v>
      </c>
      <c r="N524" s="691">
        <f t="shared" si="240"/>
        <v>60.885000000000005</v>
      </c>
      <c r="O524" s="691">
        <f t="shared" si="240"/>
        <v>60.885000000000005</v>
      </c>
      <c r="P524" s="691"/>
      <c r="Q524" s="691">
        <f t="shared" si="240"/>
        <v>8.1180000000000003</v>
      </c>
      <c r="R524" s="691">
        <f t="shared" si="240"/>
        <v>10.959299999999999</v>
      </c>
      <c r="S524" s="651"/>
      <c r="T524" s="651"/>
      <c r="U524" s="651"/>
    </row>
    <row r="525" spans="1:21" s="240" customFormat="1" ht="15.75">
      <c r="A525" s="323"/>
      <c r="B525" s="616"/>
      <c r="C525" s="324"/>
      <c r="D525" s="238"/>
      <c r="E525" s="325"/>
      <c r="F525" s="672">
        <f t="shared" ref="F525:U525" si="242">F517-SUM(F518:F524)</f>
        <v>0</v>
      </c>
      <c r="G525" s="672">
        <f t="shared" si="242"/>
        <v>0</v>
      </c>
      <c r="H525" s="672">
        <f t="shared" si="242"/>
        <v>0</v>
      </c>
      <c r="I525" s="672">
        <f t="shared" si="242"/>
        <v>0</v>
      </c>
      <c r="J525" s="672">
        <f t="shared" si="242"/>
        <v>0</v>
      </c>
      <c r="K525" s="672">
        <f>K517-SUM(K518:K524)</f>
        <v>0</v>
      </c>
      <c r="L525" s="672">
        <f t="shared" si="242"/>
        <v>0</v>
      </c>
      <c r="M525" s="672">
        <f t="shared" si="242"/>
        <v>0</v>
      </c>
      <c r="N525" s="672">
        <f t="shared" si="242"/>
        <v>0</v>
      </c>
      <c r="O525" s="672">
        <f t="shared" si="242"/>
        <v>0</v>
      </c>
      <c r="P525" s="672">
        <f>P517-SUM(P518:P524)</f>
        <v>0</v>
      </c>
      <c r="Q525" s="672">
        <f t="shared" si="242"/>
        <v>0</v>
      </c>
      <c r="R525" s="672">
        <f t="shared" si="242"/>
        <v>0</v>
      </c>
      <c r="S525" s="672">
        <f t="shared" si="242"/>
        <v>0</v>
      </c>
      <c r="T525" s="672">
        <f t="shared" si="242"/>
        <v>0</v>
      </c>
      <c r="U525" s="672">
        <f t="shared" si="242"/>
        <v>0</v>
      </c>
    </row>
    <row r="526" spans="1:21" s="59" customFormat="1" ht="15.75">
      <c r="A526" s="769"/>
      <c r="B526" s="656"/>
      <c r="C526" s="404"/>
      <c r="D526" s="641"/>
      <c r="E526" s="405"/>
      <c r="F526" s="690"/>
      <c r="G526" s="690"/>
      <c r="H526" s="690"/>
      <c r="I526" s="690"/>
      <c r="J526" s="690"/>
      <c r="K526" s="690"/>
      <c r="L526" s="690"/>
      <c r="M526" s="690"/>
      <c r="N526" s="690"/>
      <c r="O526" s="690"/>
      <c r="P526" s="690"/>
      <c r="Q526" s="690"/>
      <c r="R526" s="690"/>
      <c r="S526" s="690"/>
      <c r="T526" s="690"/>
      <c r="U526" s="690"/>
    </row>
    <row r="527" spans="1:21" s="288" customFormat="1" ht="15.75">
      <c r="A527" s="417" t="s">
        <v>532</v>
      </c>
      <c r="B527" s="612" t="s">
        <v>266</v>
      </c>
      <c r="C527" s="427"/>
      <c r="D527" s="398"/>
      <c r="E527" s="399"/>
      <c r="F527" s="666">
        <f>0.01*F$258</f>
        <v>30.667999999999999</v>
      </c>
      <c r="G527" s="666">
        <f>0.018*G$258</f>
        <v>24.353999999999999</v>
      </c>
      <c r="H527" s="668">
        <f>0.005*H$258</f>
        <v>6.7650000000000006</v>
      </c>
      <c r="I527" s="666"/>
      <c r="J527" s="666"/>
      <c r="K527" s="668">
        <f>0.005*K$258</f>
        <v>6.7650000000000006</v>
      </c>
      <c r="L527" s="668">
        <f>0.005*L$258</f>
        <v>13.530000000000001</v>
      </c>
      <c r="M527" s="668">
        <f>0.02*M$258</f>
        <v>27.060000000000002</v>
      </c>
      <c r="N527" s="668">
        <f>0.1*N$258</f>
        <v>135.30000000000001</v>
      </c>
      <c r="O527" s="668">
        <f>0.1*O$258</f>
        <v>135.30000000000001</v>
      </c>
      <c r="P527" s="666"/>
      <c r="Q527" s="668"/>
      <c r="R527" s="668">
        <f>0.003*R$258</f>
        <v>12.177</v>
      </c>
      <c r="S527" s="666">
        <v>0</v>
      </c>
      <c r="T527" s="666">
        <v>0</v>
      </c>
      <c r="U527" s="666">
        <v>0</v>
      </c>
    </row>
    <row r="528" spans="1:21" s="59" customFormat="1" ht="15.75">
      <c r="A528" s="657" t="s">
        <v>533</v>
      </c>
      <c r="B528" s="658" t="s">
        <v>326</v>
      </c>
      <c r="C528" s="404"/>
      <c r="D528" s="641" t="s">
        <v>890</v>
      </c>
      <c r="E528" s="405"/>
      <c r="F528" s="692">
        <f>0.2*F$527</f>
        <v>6.1336000000000004</v>
      </c>
      <c r="G528" s="692">
        <f t="shared" ref="G528:R528" si="243">0.2*G$527</f>
        <v>4.8708</v>
      </c>
      <c r="H528" s="692">
        <f t="shared" si="243"/>
        <v>1.3530000000000002</v>
      </c>
      <c r="I528" s="692"/>
      <c r="J528" s="692"/>
      <c r="K528" s="692">
        <f t="shared" si="243"/>
        <v>1.3530000000000002</v>
      </c>
      <c r="L528" s="692">
        <f t="shared" si="243"/>
        <v>2.7060000000000004</v>
      </c>
      <c r="M528" s="692">
        <f t="shared" si="243"/>
        <v>5.4120000000000008</v>
      </c>
      <c r="N528" s="692">
        <f t="shared" si="243"/>
        <v>27.060000000000002</v>
      </c>
      <c r="O528" s="692">
        <f t="shared" si="243"/>
        <v>27.060000000000002</v>
      </c>
      <c r="P528" s="692"/>
      <c r="Q528" s="692"/>
      <c r="R528" s="692">
        <f t="shared" si="243"/>
        <v>2.4354</v>
      </c>
      <c r="S528" s="689"/>
      <c r="T528" s="689"/>
      <c r="U528" s="457"/>
    </row>
    <row r="529" spans="1:21" s="383" customFormat="1" ht="15.75">
      <c r="A529" s="657" t="s">
        <v>534</v>
      </c>
      <c r="B529" s="658" t="s">
        <v>101</v>
      </c>
      <c r="C529" s="429"/>
      <c r="D529" s="430" t="s">
        <v>890</v>
      </c>
      <c r="E529" s="431"/>
      <c r="F529" s="692">
        <f>0.1*F$527</f>
        <v>3.0668000000000002</v>
      </c>
      <c r="G529" s="692">
        <f t="shared" ref="G529:R529" si="244">0.1*G$527</f>
        <v>2.4354</v>
      </c>
      <c r="H529" s="692">
        <f t="shared" si="244"/>
        <v>0.6765000000000001</v>
      </c>
      <c r="I529" s="692"/>
      <c r="J529" s="692"/>
      <c r="K529" s="692">
        <f t="shared" si="244"/>
        <v>0.6765000000000001</v>
      </c>
      <c r="L529" s="692">
        <f t="shared" si="244"/>
        <v>1.3530000000000002</v>
      </c>
      <c r="M529" s="692">
        <f t="shared" si="244"/>
        <v>2.7060000000000004</v>
      </c>
      <c r="N529" s="692">
        <f t="shared" si="244"/>
        <v>13.530000000000001</v>
      </c>
      <c r="O529" s="692">
        <f t="shared" si="244"/>
        <v>13.530000000000001</v>
      </c>
      <c r="P529" s="692"/>
      <c r="Q529" s="692"/>
      <c r="R529" s="692">
        <f t="shared" si="244"/>
        <v>1.2177</v>
      </c>
      <c r="S529" s="689"/>
      <c r="T529" s="689"/>
      <c r="U529" s="437"/>
    </row>
    <row r="530" spans="1:21" s="432" customFormat="1" ht="15.75">
      <c r="A530" s="526" t="s">
        <v>535</v>
      </c>
      <c r="B530" s="695" t="s">
        <v>135</v>
      </c>
      <c r="C530" s="429"/>
      <c r="D530" s="430" t="s">
        <v>890</v>
      </c>
      <c r="E530" s="431"/>
      <c r="F530" s="692">
        <f>0.15*F527</f>
        <v>4.6002000000000001</v>
      </c>
      <c r="G530" s="692">
        <f t="shared" ref="G530:R530" si="245">0.15*G527</f>
        <v>3.6530999999999998</v>
      </c>
      <c r="H530" s="692">
        <f t="shared" si="245"/>
        <v>1.01475</v>
      </c>
      <c r="I530" s="692"/>
      <c r="J530" s="692"/>
      <c r="K530" s="692">
        <f t="shared" si="245"/>
        <v>1.01475</v>
      </c>
      <c r="L530" s="692">
        <f t="shared" si="245"/>
        <v>2.0295000000000001</v>
      </c>
      <c r="M530" s="692">
        <f t="shared" si="245"/>
        <v>4.0590000000000002</v>
      </c>
      <c r="N530" s="692">
        <f t="shared" si="245"/>
        <v>20.295000000000002</v>
      </c>
      <c r="O530" s="692">
        <f t="shared" si="245"/>
        <v>20.295000000000002</v>
      </c>
      <c r="P530" s="692"/>
      <c r="Q530" s="692"/>
      <c r="R530" s="692">
        <f t="shared" si="245"/>
        <v>1.8265499999999999</v>
      </c>
      <c r="S530" s="689"/>
      <c r="T530" s="689"/>
      <c r="U530" s="437"/>
    </row>
    <row r="531" spans="1:21" s="432" customFormat="1" ht="15.75">
      <c r="A531" s="657" t="s">
        <v>536</v>
      </c>
      <c r="B531" s="658" t="s">
        <v>105</v>
      </c>
      <c r="C531" s="434"/>
      <c r="D531" s="430" t="s">
        <v>890</v>
      </c>
      <c r="E531" s="435"/>
      <c r="F531" s="692">
        <f t="shared" ref="F531:R533" si="246">0.1*F$527</f>
        <v>3.0668000000000002</v>
      </c>
      <c r="G531" s="692">
        <f t="shared" si="246"/>
        <v>2.4354</v>
      </c>
      <c r="H531" s="692">
        <f t="shared" si="246"/>
        <v>0.6765000000000001</v>
      </c>
      <c r="I531" s="692"/>
      <c r="J531" s="692"/>
      <c r="K531" s="692">
        <f t="shared" si="246"/>
        <v>0.6765000000000001</v>
      </c>
      <c r="L531" s="692">
        <f t="shared" si="246"/>
        <v>1.3530000000000002</v>
      </c>
      <c r="M531" s="692">
        <f t="shared" si="246"/>
        <v>2.7060000000000004</v>
      </c>
      <c r="N531" s="692">
        <f t="shared" si="246"/>
        <v>13.530000000000001</v>
      </c>
      <c r="O531" s="692">
        <f t="shared" si="246"/>
        <v>13.530000000000001</v>
      </c>
      <c r="P531" s="692"/>
      <c r="Q531" s="692"/>
      <c r="R531" s="692">
        <f t="shared" si="246"/>
        <v>1.2177</v>
      </c>
      <c r="S531" s="689"/>
      <c r="T531" s="689"/>
      <c r="U531" s="437"/>
    </row>
    <row r="532" spans="1:21" s="59" customFormat="1" ht="15.75">
      <c r="A532" s="657" t="s">
        <v>537</v>
      </c>
      <c r="B532" s="658" t="s">
        <v>142</v>
      </c>
      <c r="C532" s="396"/>
      <c r="D532" s="641" t="s">
        <v>890</v>
      </c>
      <c r="E532" s="397"/>
      <c r="F532" s="692">
        <f>0.2*F527</f>
        <v>6.1336000000000004</v>
      </c>
      <c r="G532" s="692">
        <f t="shared" ref="G532:R532" si="247">0.2*G527</f>
        <v>4.8708</v>
      </c>
      <c r="H532" s="692">
        <f t="shared" si="247"/>
        <v>1.3530000000000002</v>
      </c>
      <c r="I532" s="692"/>
      <c r="J532" s="692"/>
      <c r="K532" s="692">
        <f t="shared" si="247"/>
        <v>1.3530000000000002</v>
      </c>
      <c r="L532" s="692">
        <f t="shared" si="247"/>
        <v>2.7060000000000004</v>
      </c>
      <c r="M532" s="692">
        <f t="shared" si="247"/>
        <v>5.4120000000000008</v>
      </c>
      <c r="N532" s="692">
        <f t="shared" si="247"/>
        <v>27.060000000000002</v>
      </c>
      <c r="O532" s="692">
        <f t="shared" si="247"/>
        <v>27.060000000000002</v>
      </c>
      <c r="P532" s="692"/>
      <c r="Q532" s="692"/>
      <c r="R532" s="692">
        <f t="shared" si="247"/>
        <v>2.4354</v>
      </c>
      <c r="S532" s="453"/>
      <c r="T532" s="453"/>
      <c r="U532" s="457"/>
    </row>
    <row r="533" spans="1:21" s="59" customFormat="1" ht="15.75">
      <c r="A533" s="657" t="s">
        <v>538</v>
      </c>
      <c r="B533" s="658" t="s">
        <v>150</v>
      </c>
      <c r="C533" s="404"/>
      <c r="D533" s="641" t="s">
        <v>890</v>
      </c>
      <c r="E533" s="405"/>
      <c r="F533" s="692">
        <f t="shared" si="246"/>
        <v>3.0668000000000002</v>
      </c>
      <c r="G533" s="692">
        <f t="shared" si="246"/>
        <v>2.4354</v>
      </c>
      <c r="H533" s="692">
        <f t="shared" si="246"/>
        <v>0.6765000000000001</v>
      </c>
      <c r="I533" s="692"/>
      <c r="J533" s="692"/>
      <c r="K533" s="692">
        <f t="shared" si="246"/>
        <v>0.6765000000000001</v>
      </c>
      <c r="L533" s="692">
        <f t="shared" si="246"/>
        <v>1.3530000000000002</v>
      </c>
      <c r="M533" s="692">
        <f t="shared" si="246"/>
        <v>2.7060000000000004</v>
      </c>
      <c r="N533" s="692">
        <f t="shared" si="246"/>
        <v>13.530000000000001</v>
      </c>
      <c r="O533" s="692">
        <f t="shared" si="246"/>
        <v>13.530000000000001</v>
      </c>
      <c r="P533" s="692"/>
      <c r="Q533" s="692"/>
      <c r="R533" s="692">
        <f t="shared" si="246"/>
        <v>1.2177</v>
      </c>
      <c r="S533" s="689"/>
      <c r="T533" s="689"/>
      <c r="U533" s="457"/>
    </row>
    <row r="534" spans="1:21" s="432" customFormat="1" ht="15.75">
      <c r="A534" s="526" t="s">
        <v>539</v>
      </c>
      <c r="B534" s="695" t="s">
        <v>213</v>
      </c>
      <c r="C534" s="429"/>
      <c r="D534" s="430" t="s">
        <v>890</v>
      </c>
      <c r="E534" s="431"/>
      <c r="F534" s="692">
        <f>0.15*F527</f>
        <v>4.6002000000000001</v>
      </c>
      <c r="G534" s="692">
        <f t="shared" ref="G534:R534" si="248">0.15*G527</f>
        <v>3.6530999999999998</v>
      </c>
      <c r="H534" s="692">
        <f t="shared" si="248"/>
        <v>1.01475</v>
      </c>
      <c r="I534" s="692"/>
      <c r="J534" s="692"/>
      <c r="K534" s="692">
        <f t="shared" si="248"/>
        <v>1.01475</v>
      </c>
      <c r="L534" s="692">
        <f t="shared" si="248"/>
        <v>2.0295000000000001</v>
      </c>
      <c r="M534" s="692">
        <f t="shared" si="248"/>
        <v>4.0590000000000002</v>
      </c>
      <c r="N534" s="692">
        <f t="shared" si="248"/>
        <v>20.295000000000002</v>
      </c>
      <c r="O534" s="692">
        <f t="shared" si="248"/>
        <v>20.295000000000002</v>
      </c>
      <c r="P534" s="692"/>
      <c r="Q534" s="692"/>
      <c r="R534" s="692">
        <f t="shared" si="248"/>
        <v>1.8265499999999999</v>
      </c>
      <c r="S534" s="689"/>
      <c r="T534" s="689"/>
      <c r="U534" s="437"/>
    </row>
    <row r="535" spans="1:21" s="284" customFormat="1" ht="15.75">
      <c r="A535" s="769"/>
      <c r="B535" s="656"/>
      <c r="C535" s="404"/>
      <c r="D535" s="641"/>
      <c r="E535" s="405"/>
      <c r="F535" s="664">
        <f t="shared" ref="F535:U535" si="249">F527-SUM(F528:F534)</f>
        <v>0</v>
      </c>
      <c r="G535" s="664">
        <f t="shared" si="249"/>
        <v>0</v>
      </c>
      <c r="H535" s="664">
        <f t="shared" si="249"/>
        <v>0</v>
      </c>
      <c r="I535" s="664">
        <f t="shared" si="249"/>
        <v>0</v>
      </c>
      <c r="J535" s="664">
        <f t="shared" si="249"/>
        <v>0</v>
      </c>
      <c r="K535" s="664">
        <f>K527-SUM(K528:K534)</f>
        <v>0</v>
      </c>
      <c r="L535" s="664">
        <f t="shared" si="249"/>
        <v>0</v>
      </c>
      <c r="M535" s="664">
        <f t="shared" si="249"/>
        <v>0</v>
      </c>
      <c r="N535" s="664">
        <f t="shared" si="249"/>
        <v>0</v>
      </c>
      <c r="O535" s="664">
        <f t="shared" si="249"/>
        <v>0</v>
      </c>
      <c r="P535" s="664">
        <f>P527-SUM(P528:P534)</f>
        <v>0</v>
      </c>
      <c r="Q535" s="664">
        <f t="shared" si="249"/>
        <v>0</v>
      </c>
      <c r="R535" s="664">
        <f t="shared" si="249"/>
        <v>0</v>
      </c>
      <c r="S535" s="664">
        <f t="shared" si="249"/>
        <v>0</v>
      </c>
      <c r="T535" s="664">
        <f t="shared" si="249"/>
        <v>0</v>
      </c>
      <c r="U535" s="664">
        <f t="shared" si="249"/>
        <v>0</v>
      </c>
    </row>
    <row r="536" spans="1:21" s="384" customFormat="1" ht="15.75">
      <c r="A536" s="769"/>
      <c r="B536" s="656"/>
      <c r="C536" s="404"/>
      <c r="D536" s="641"/>
      <c r="E536" s="405"/>
      <c r="F536" s="664"/>
      <c r="G536" s="664"/>
      <c r="H536" s="664"/>
      <c r="I536" s="664"/>
      <c r="J536" s="664"/>
      <c r="K536" s="664"/>
      <c r="L536" s="664"/>
      <c r="M536" s="664"/>
      <c r="N536" s="664"/>
      <c r="O536" s="664"/>
      <c r="P536" s="664"/>
      <c r="Q536" s="664"/>
      <c r="R536" s="664"/>
      <c r="S536" s="664"/>
      <c r="T536" s="664"/>
      <c r="U536" s="664"/>
    </row>
    <row r="537" spans="1:21" s="385" customFormat="1" ht="15.75">
      <c r="A537" s="417" t="s">
        <v>540</v>
      </c>
      <c r="B537" s="617" t="s">
        <v>272</v>
      </c>
      <c r="C537" s="427"/>
      <c r="D537" s="398"/>
      <c r="E537" s="399"/>
      <c r="F537" s="666">
        <f>0.01*F$258</f>
        <v>30.667999999999999</v>
      </c>
      <c r="G537" s="666">
        <f>0.01*G$258</f>
        <v>13.530000000000001</v>
      </c>
      <c r="H537" s="668">
        <f>0.01*H$258</f>
        <v>13.530000000000001</v>
      </c>
      <c r="I537" s="666"/>
      <c r="J537" s="666"/>
      <c r="K537" s="668">
        <f>0.01*K$258</f>
        <v>13.530000000000001</v>
      </c>
      <c r="L537" s="666"/>
      <c r="M537" s="666"/>
      <c r="N537" s="668">
        <f>0.04*N$258</f>
        <v>54.120000000000005</v>
      </c>
      <c r="O537" s="668">
        <f>0.04*O$258</f>
        <v>54.120000000000005</v>
      </c>
      <c r="P537" s="668"/>
      <c r="Q537" s="668">
        <f>0.01*Q$258</f>
        <v>40.589999999999996</v>
      </c>
      <c r="R537" s="668">
        <f>0.01*R$258</f>
        <v>40.589999999999996</v>
      </c>
      <c r="S537" s="375"/>
      <c r="T537" s="375"/>
      <c r="U537" s="375"/>
    </row>
    <row r="538" spans="1:21" s="382" customFormat="1" ht="15.75">
      <c r="A538" s="657" t="s">
        <v>541</v>
      </c>
      <c r="B538" s="658" t="s">
        <v>326</v>
      </c>
      <c r="C538" s="404"/>
      <c r="D538" s="430" t="s">
        <v>890</v>
      </c>
      <c r="E538" s="405"/>
      <c r="F538" s="651">
        <f>0.3*F$537</f>
        <v>9.2004000000000001</v>
      </c>
      <c r="G538" s="651">
        <f t="shared" ref="G538:R538" si="250">0.3*G$537</f>
        <v>4.0590000000000002</v>
      </c>
      <c r="H538" s="651">
        <f t="shared" si="250"/>
        <v>4.0590000000000002</v>
      </c>
      <c r="I538" s="651"/>
      <c r="J538" s="651"/>
      <c r="K538" s="651">
        <f t="shared" si="250"/>
        <v>4.0590000000000002</v>
      </c>
      <c r="L538" s="651"/>
      <c r="M538" s="651"/>
      <c r="N538" s="651">
        <f t="shared" si="250"/>
        <v>16.236000000000001</v>
      </c>
      <c r="O538" s="651">
        <f t="shared" si="250"/>
        <v>16.236000000000001</v>
      </c>
      <c r="P538" s="651"/>
      <c r="Q538" s="651">
        <f t="shared" si="250"/>
        <v>12.176999999999998</v>
      </c>
      <c r="R538" s="651">
        <f t="shared" si="250"/>
        <v>12.176999999999998</v>
      </c>
      <c r="S538" s="651"/>
      <c r="T538" s="651"/>
      <c r="U538" s="651"/>
    </row>
    <row r="539" spans="1:21" s="432" customFormat="1" ht="15.75">
      <c r="A539" s="526" t="s">
        <v>542</v>
      </c>
      <c r="B539" s="695" t="s">
        <v>135</v>
      </c>
      <c r="C539" s="429"/>
      <c r="D539" s="430" t="s">
        <v>890</v>
      </c>
      <c r="E539" s="431"/>
      <c r="F539" s="651">
        <f>0.2*F537</f>
        <v>6.1336000000000004</v>
      </c>
      <c r="G539" s="651">
        <f t="shared" ref="G539:R539" si="251">0.2*G537</f>
        <v>2.7060000000000004</v>
      </c>
      <c r="H539" s="651">
        <f t="shared" si="251"/>
        <v>2.7060000000000004</v>
      </c>
      <c r="I539" s="651"/>
      <c r="J539" s="651"/>
      <c r="K539" s="651">
        <f t="shared" si="251"/>
        <v>2.7060000000000004</v>
      </c>
      <c r="L539" s="651"/>
      <c r="M539" s="651"/>
      <c r="N539" s="651">
        <f t="shared" si="251"/>
        <v>10.824000000000002</v>
      </c>
      <c r="O539" s="651">
        <f t="shared" si="251"/>
        <v>10.824000000000002</v>
      </c>
      <c r="P539" s="651"/>
      <c r="Q539" s="651">
        <f t="shared" si="251"/>
        <v>8.1180000000000003</v>
      </c>
      <c r="R539" s="651">
        <f t="shared" si="251"/>
        <v>8.1180000000000003</v>
      </c>
      <c r="S539" s="651"/>
      <c r="T539" s="651"/>
      <c r="U539" s="651"/>
    </row>
    <row r="540" spans="1:21" s="432" customFormat="1" ht="15.75">
      <c r="A540" s="657" t="s">
        <v>543</v>
      </c>
      <c r="B540" s="658" t="s">
        <v>105</v>
      </c>
      <c r="C540" s="429"/>
      <c r="D540" s="430" t="s">
        <v>890</v>
      </c>
      <c r="E540" s="431"/>
      <c r="F540" s="651">
        <f>0.1*F$537</f>
        <v>3.0668000000000002</v>
      </c>
      <c r="G540" s="651">
        <f>0.1*G$537</f>
        <v>1.3530000000000002</v>
      </c>
      <c r="H540" s="651">
        <f>0.1*H$537</f>
        <v>1.3530000000000002</v>
      </c>
      <c r="I540" s="651"/>
      <c r="J540" s="651"/>
      <c r="K540" s="651">
        <f>0.1*K$537</f>
        <v>1.3530000000000002</v>
      </c>
      <c r="L540" s="651"/>
      <c r="M540" s="651"/>
      <c r="N540" s="651">
        <f>0.1*N$537</f>
        <v>5.4120000000000008</v>
      </c>
      <c r="O540" s="651">
        <f>0.1*O$537</f>
        <v>5.4120000000000008</v>
      </c>
      <c r="P540" s="651"/>
      <c r="Q540" s="651">
        <f>0.1*Q$537</f>
        <v>4.0590000000000002</v>
      </c>
      <c r="R540" s="651">
        <f>0.1*R$537</f>
        <v>4.0590000000000002</v>
      </c>
      <c r="S540" s="651"/>
      <c r="T540" s="651"/>
      <c r="U540" s="651"/>
    </row>
    <row r="541" spans="1:21" s="432" customFormat="1" ht="15.75">
      <c r="A541" s="657" t="s">
        <v>544</v>
      </c>
      <c r="B541" s="658" t="s">
        <v>142</v>
      </c>
      <c r="C541" s="429"/>
      <c r="D541" s="430" t="s">
        <v>890</v>
      </c>
      <c r="E541" s="431"/>
      <c r="F541" s="651">
        <f>0.2*F537</f>
        <v>6.1336000000000004</v>
      </c>
      <c r="G541" s="651">
        <f t="shared" ref="G541:R541" si="252">0.2*G537</f>
        <v>2.7060000000000004</v>
      </c>
      <c r="H541" s="651">
        <f t="shared" si="252"/>
        <v>2.7060000000000004</v>
      </c>
      <c r="I541" s="651"/>
      <c r="J541" s="651"/>
      <c r="K541" s="651">
        <f t="shared" si="252"/>
        <v>2.7060000000000004</v>
      </c>
      <c r="L541" s="651"/>
      <c r="M541" s="651"/>
      <c r="N541" s="651">
        <f t="shared" si="252"/>
        <v>10.824000000000002</v>
      </c>
      <c r="O541" s="651">
        <f t="shared" si="252"/>
        <v>10.824000000000002</v>
      </c>
      <c r="P541" s="651"/>
      <c r="Q541" s="651">
        <f t="shared" si="252"/>
        <v>8.1180000000000003</v>
      </c>
      <c r="R541" s="651">
        <f t="shared" si="252"/>
        <v>8.1180000000000003</v>
      </c>
      <c r="S541" s="651"/>
      <c r="T541" s="651"/>
      <c r="U541" s="651"/>
    </row>
    <row r="542" spans="1:21" s="432" customFormat="1" ht="15.75">
      <c r="A542" s="657" t="s">
        <v>545</v>
      </c>
      <c r="B542" s="658" t="s">
        <v>150</v>
      </c>
      <c r="C542" s="429"/>
      <c r="D542" s="430" t="s">
        <v>890</v>
      </c>
      <c r="E542" s="431"/>
      <c r="F542" s="651">
        <f t="shared" ref="F542:H543" si="253">0.1*F$537</f>
        <v>3.0668000000000002</v>
      </c>
      <c r="G542" s="651">
        <f t="shared" si="253"/>
        <v>1.3530000000000002</v>
      </c>
      <c r="H542" s="651">
        <f t="shared" si="253"/>
        <v>1.3530000000000002</v>
      </c>
      <c r="I542" s="651"/>
      <c r="J542" s="651"/>
      <c r="K542" s="651">
        <f>0.1*K$537</f>
        <v>1.3530000000000002</v>
      </c>
      <c r="L542" s="651"/>
      <c r="M542" s="651"/>
      <c r="N542" s="651">
        <f>0.1*N$537</f>
        <v>5.4120000000000008</v>
      </c>
      <c r="O542" s="651">
        <f>0.1*O$537</f>
        <v>5.4120000000000008</v>
      </c>
      <c r="P542" s="651"/>
      <c r="Q542" s="651">
        <f>0.1*Q$537</f>
        <v>4.0590000000000002</v>
      </c>
      <c r="R542" s="651">
        <f>0.1*R$537</f>
        <v>4.0590000000000002</v>
      </c>
      <c r="S542" s="651"/>
      <c r="T542" s="651"/>
      <c r="U542" s="651"/>
    </row>
    <row r="543" spans="1:21" s="432" customFormat="1" ht="15.75">
      <c r="A543" s="526" t="s">
        <v>546</v>
      </c>
      <c r="B543" s="695" t="s">
        <v>213</v>
      </c>
      <c r="C543" s="429"/>
      <c r="D543" s="430" t="s">
        <v>890</v>
      </c>
      <c r="E543" s="431"/>
      <c r="F543" s="651">
        <f t="shared" si="253"/>
        <v>3.0668000000000002</v>
      </c>
      <c r="G543" s="651">
        <f t="shared" si="253"/>
        <v>1.3530000000000002</v>
      </c>
      <c r="H543" s="651">
        <f t="shared" si="253"/>
        <v>1.3530000000000002</v>
      </c>
      <c r="I543" s="651"/>
      <c r="J543" s="651"/>
      <c r="K543" s="651">
        <f>0.1*K$537</f>
        <v>1.3530000000000002</v>
      </c>
      <c r="L543" s="651"/>
      <c r="M543" s="651"/>
      <c r="N543" s="651">
        <f>0.1*N$537</f>
        <v>5.4120000000000008</v>
      </c>
      <c r="O543" s="651">
        <f>0.1*O$537</f>
        <v>5.4120000000000008</v>
      </c>
      <c r="P543" s="651"/>
      <c r="Q543" s="651">
        <f>0.1*Q$537</f>
        <v>4.0590000000000002</v>
      </c>
      <c r="R543" s="651">
        <f>0.1*R$537</f>
        <v>4.0590000000000002</v>
      </c>
      <c r="S543" s="651"/>
      <c r="T543" s="651"/>
      <c r="U543" s="651"/>
    </row>
    <row r="544" spans="1:21" s="382" customFormat="1" ht="15.75">
      <c r="A544" s="769"/>
      <c r="B544" s="656"/>
      <c r="C544" s="404"/>
      <c r="D544" s="641"/>
      <c r="E544" s="405"/>
      <c r="F544" s="664">
        <f>F537-SUM(F538:F543)</f>
        <v>0</v>
      </c>
      <c r="G544" s="664">
        <f t="shared" ref="G544:R544" si="254">G537-SUM(G538:G543)</f>
        <v>0</v>
      </c>
      <c r="H544" s="664">
        <f t="shared" si="254"/>
        <v>0</v>
      </c>
      <c r="I544" s="664">
        <f t="shared" si="254"/>
        <v>0</v>
      </c>
      <c r="J544" s="664">
        <f t="shared" si="254"/>
        <v>0</v>
      </c>
      <c r="K544" s="664">
        <f>K537-SUM(K538:K543)</f>
        <v>0</v>
      </c>
      <c r="L544" s="664">
        <f t="shared" si="254"/>
        <v>0</v>
      </c>
      <c r="M544" s="664">
        <f t="shared" si="254"/>
        <v>0</v>
      </c>
      <c r="N544" s="664">
        <f t="shared" si="254"/>
        <v>0</v>
      </c>
      <c r="O544" s="664">
        <f t="shared" si="254"/>
        <v>0</v>
      </c>
      <c r="P544" s="664"/>
      <c r="Q544" s="664">
        <f t="shared" si="254"/>
        <v>0</v>
      </c>
      <c r="R544" s="664">
        <f t="shared" si="254"/>
        <v>0</v>
      </c>
      <c r="S544" s="651"/>
      <c r="T544" s="651"/>
      <c r="U544" s="651"/>
    </row>
    <row r="545" spans="1:21" s="59" customFormat="1" ht="15.75">
      <c r="A545" s="769"/>
      <c r="B545" s="656"/>
      <c r="C545" s="404"/>
      <c r="D545" s="641"/>
      <c r="E545" s="405"/>
      <c r="F545" s="651"/>
      <c r="G545" s="651"/>
      <c r="H545" s="651"/>
      <c r="I545" s="651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  <c r="U545" s="651"/>
    </row>
    <row r="546" spans="1:21" s="288" customFormat="1" ht="15.75">
      <c r="A546" s="417" t="s">
        <v>547</v>
      </c>
      <c r="B546" s="693" t="s">
        <v>277</v>
      </c>
      <c r="C546" s="427"/>
      <c r="D546" s="398"/>
      <c r="E546" s="399"/>
      <c r="F546" s="666">
        <f>0.01*F$258</f>
        <v>30.667999999999999</v>
      </c>
      <c r="G546" s="666">
        <f>0.06*G$258</f>
        <v>81.179999999999993</v>
      </c>
      <c r="H546" s="668">
        <f>0.01*H$258</f>
        <v>13.530000000000001</v>
      </c>
      <c r="I546" s="666"/>
      <c r="J546" s="666"/>
      <c r="K546" s="668">
        <f>0.01*K$258</f>
        <v>13.530000000000001</v>
      </c>
      <c r="L546" s="666"/>
      <c r="M546" s="666"/>
      <c r="N546" s="668">
        <f>0.03*N$258</f>
        <v>40.589999999999996</v>
      </c>
      <c r="O546" s="668">
        <f>0.04*O$258</f>
        <v>54.120000000000005</v>
      </c>
      <c r="P546" s="666"/>
      <c r="Q546" s="668">
        <f>0.01*Q$258</f>
        <v>40.589999999999996</v>
      </c>
      <c r="R546" s="668">
        <f>0.01*R$258</f>
        <v>40.589999999999996</v>
      </c>
      <c r="S546" s="666">
        <v>0</v>
      </c>
      <c r="T546" s="666">
        <v>0</v>
      </c>
      <c r="U546" s="666">
        <v>0</v>
      </c>
    </row>
    <row r="547" spans="1:21" s="59" customFormat="1" ht="15.75">
      <c r="A547" s="769" t="s">
        <v>548</v>
      </c>
      <c r="B547" s="658" t="s">
        <v>326</v>
      </c>
      <c r="C547" s="404"/>
      <c r="D547" s="641" t="s">
        <v>890</v>
      </c>
      <c r="E547" s="405"/>
      <c r="F547" s="692">
        <f>0.3*F$546</f>
        <v>9.2004000000000001</v>
      </c>
      <c r="G547" s="692">
        <f t="shared" ref="G547:R547" si="255">0.3*G$546</f>
        <v>24.353999999999996</v>
      </c>
      <c r="H547" s="692">
        <f t="shared" si="255"/>
        <v>4.0590000000000002</v>
      </c>
      <c r="I547" s="692"/>
      <c r="J547" s="692"/>
      <c r="K547" s="692">
        <f t="shared" si="255"/>
        <v>4.0590000000000002</v>
      </c>
      <c r="L547" s="692"/>
      <c r="M547" s="692"/>
      <c r="N547" s="692">
        <f t="shared" si="255"/>
        <v>12.176999999999998</v>
      </c>
      <c r="O547" s="692">
        <f t="shared" si="255"/>
        <v>16.236000000000001</v>
      </c>
      <c r="P547" s="692"/>
      <c r="Q547" s="692">
        <f t="shared" si="255"/>
        <v>12.176999999999998</v>
      </c>
      <c r="R547" s="692">
        <f t="shared" si="255"/>
        <v>12.176999999999998</v>
      </c>
      <c r="S547" s="689"/>
      <c r="T547" s="689"/>
      <c r="U547" s="457"/>
    </row>
    <row r="548" spans="1:21" s="432" customFormat="1" ht="15.75">
      <c r="A548" s="526" t="s">
        <v>549</v>
      </c>
      <c r="B548" s="695" t="s">
        <v>135</v>
      </c>
      <c r="C548" s="429"/>
      <c r="D548" s="430" t="s">
        <v>890</v>
      </c>
      <c r="E548" s="431"/>
      <c r="F548" s="692">
        <f>0.2*F546</f>
        <v>6.1336000000000004</v>
      </c>
      <c r="G548" s="692">
        <f t="shared" ref="G548:R548" si="256">0.2*G546</f>
        <v>16.236000000000001</v>
      </c>
      <c r="H548" s="692">
        <f t="shared" si="256"/>
        <v>2.7060000000000004</v>
      </c>
      <c r="I548" s="692"/>
      <c r="J548" s="692"/>
      <c r="K548" s="692">
        <f t="shared" si="256"/>
        <v>2.7060000000000004</v>
      </c>
      <c r="L548" s="692"/>
      <c r="M548" s="692"/>
      <c r="N548" s="692">
        <f t="shared" si="256"/>
        <v>8.1180000000000003</v>
      </c>
      <c r="O548" s="692">
        <f t="shared" si="256"/>
        <v>10.824000000000002</v>
      </c>
      <c r="P548" s="692"/>
      <c r="Q548" s="692">
        <f t="shared" si="256"/>
        <v>8.1180000000000003</v>
      </c>
      <c r="R548" s="692">
        <f t="shared" si="256"/>
        <v>8.1180000000000003</v>
      </c>
      <c r="S548" s="689"/>
      <c r="T548" s="689"/>
      <c r="U548" s="437"/>
    </row>
    <row r="549" spans="1:21" s="432" customFormat="1" ht="15.75">
      <c r="A549" s="657" t="s">
        <v>550</v>
      </c>
      <c r="B549" s="658" t="s">
        <v>105</v>
      </c>
      <c r="C549" s="434"/>
      <c r="D549" s="430" t="s">
        <v>890</v>
      </c>
      <c r="E549" s="435"/>
      <c r="F549" s="692">
        <f>0.1*F$546</f>
        <v>3.0668000000000002</v>
      </c>
      <c r="G549" s="692">
        <f>0.1*G$546</f>
        <v>8.1180000000000003</v>
      </c>
      <c r="H549" s="692">
        <f>0.1*H$546</f>
        <v>1.3530000000000002</v>
      </c>
      <c r="I549" s="692"/>
      <c r="J549" s="692"/>
      <c r="K549" s="692">
        <f>0.1*K$546</f>
        <v>1.3530000000000002</v>
      </c>
      <c r="L549" s="692"/>
      <c r="M549" s="692"/>
      <c r="N549" s="692">
        <f>0.1*N$546</f>
        <v>4.0590000000000002</v>
      </c>
      <c r="O549" s="692">
        <f>0.1*O$546</f>
        <v>5.4120000000000008</v>
      </c>
      <c r="P549" s="692"/>
      <c r="Q549" s="692">
        <f>0.1*Q$546</f>
        <v>4.0590000000000002</v>
      </c>
      <c r="R549" s="692">
        <f>0.1*R$546</f>
        <v>4.0590000000000002</v>
      </c>
      <c r="S549" s="689"/>
      <c r="T549" s="689"/>
      <c r="U549" s="437"/>
    </row>
    <row r="550" spans="1:21" s="432" customFormat="1" ht="15.75">
      <c r="A550" s="657" t="s">
        <v>551</v>
      </c>
      <c r="B550" s="658" t="s">
        <v>142</v>
      </c>
      <c r="C550" s="434"/>
      <c r="D550" s="430" t="s">
        <v>890</v>
      </c>
      <c r="E550" s="435"/>
      <c r="F550" s="692">
        <f>0.2*F546</f>
        <v>6.1336000000000004</v>
      </c>
      <c r="G550" s="692">
        <f t="shared" ref="G550:R550" si="257">0.2*G546</f>
        <v>16.236000000000001</v>
      </c>
      <c r="H550" s="692">
        <f t="shared" si="257"/>
        <v>2.7060000000000004</v>
      </c>
      <c r="I550" s="692"/>
      <c r="J550" s="692"/>
      <c r="K550" s="692">
        <f t="shared" si="257"/>
        <v>2.7060000000000004</v>
      </c>
      <c r="L550" s="692"/>
      <c r="M550" s="692"/>
      <c r="N550" s="692">
        <f t="shared" si="257"/>
        <v>8.1180000000000003</v>
      </c>
      <c r="O550" s="692">
        <f t="shared" si="257"/>
        <v>10.824000000000002</v>
      </c>
      <c r="P550" s="692"/>
      <c r="Q550" s="692">
        <f t="shared" si="257"/>
        <v>8.1180000000000003</v>
      </c>
      <c r="R550" s="692">
        <f t="shared" si="257"/>
        <v>8.1180000000000003</v>
      </c>
      <c r="S550" s="689"/>
      <c r="T550" s="689"/>
      <c r="U550" s="437"/>
    </row>
    <row r="551" spans="1:21" s="432" customFormat="1" ht="15.75">
      <c r="A551" s="657" t="s">
        <v>552</v>
      </c>
      <c r="B551" s="658" t="s">
        <v>150</v>
      </c>
      <c r="C551" s="429"/>
      <c r="D551" s="430" t="s">
        <v>890</v>
      </c>
      <c r="E551" s="431"/>
      <c r="F551" s="692">
        <f t="shared" ref="F551:H552" si="258">0.1*F$546</f>
        <v>3.0668000000000002</v>
      </c>
      <c r="G551" s="692">
        <f t="shared" si="258"/>
        <v>8.1180000000000003</v>
      </c>
      <c r="H551" s="692">
        <f t="shared" si="258"/>
        <v>1.3530000000000002</v>
      </c>
      <c r="I551" s="692"/>
      <c r="J551" s="692"/>
      <c r="K551" s="692">
        <f>0.1*K$546</f>
        <v>1.3530000000000002</v>
      </c>
      <c r="L551" s="692"/>
      <c r="M551" s="692"/>
      <c r="N551" s="692">
        <f>0.1*N$546</f>
        <v>4.0590000000000002</v>
      </c>
      <c r="O551" s="692">
        <f>0.1*O$546</f>
        <v>5.4120000000000008</v>
      </c>
      <c r="P551" s="692"/>
      <c r="Q551" s="692">
        <f>0.1*Q$546</f>
        <v>4.0590000000000002</v>
      </c>
      <c r="R551" s="692">
        <f>0.1*R$546</f>
        <v>4.0590000000000002</v>
      </c>
      <c r="S551" s="689"/>
      <c r="T551" s="689"/>
      <c r="U551" s="437"/>
    </row>
    <row r="552" spans="1:21" s="432" customFormat="1" ht="15.75">
      <c r="A552" s="526" t="s">
        <v>553</v>
      </c>
      <c r="B552" s="695" t="s">
        <v>213</v>
      </c>
      <c r="C552" s="429"/>
      <c r="D552" s="430" t="s">
        <v>890</v>
      </c>
      <c r="E552" s="431"/>
      <c r="F552" s="692">
        <f t="shared" si="258"/>
        <v>3.0668000000000002</v>
      </c>
      <c r="G552" s="692">
        <f t="shared" si="258"/>
        <v>8.1180000000000003</v>
      </c>
      <c r="H552" s="692">
        <f t="shared" si="258"/>
        <v>1.3530000000000002</v>
      </c>
      <c r="I552" s="692"/>
      <c r="J552" s="692"/>
      <c r="K552" s="692">
        <f>0.1*K$546</f>
        <v>1.3530000000000002</v>
      </c>
      <c r="L552" s="692"/>
      <c r="M552" s="692"/>
      <c r="N552" s="692">
        <f>0.1*N$546</f>
        <v>4.0590000000000002</v>
      </c>
      <c r="O552" s="692">
        <f>0.1*O$546</f>
        <v>5.4120000000000008</v>
      </c>
      <c r="P552" s="692"/>
      <c r="Q552" s="692">
        <f>0.1*Q$546</f>
        <v>4.0590000000000002</v>
      </c>
      <c r="R552" s="692">
        <f>0.1*R$546</f>
        <v>4.0590000000000002</v>
      </c>
      <c r="S552" s="689"/>
      <c r="T552" s="689"/>
      <c r="U552" s="437"/>
    </row>
    <row r="553" spans="1:21" s="284" customFormat="1" ht="15.75">
      <c r="A553" s="769"/>
      <c r="B553" s="656"/>
      <c r="C553" s="404"/>
      <c r="D553" s="641"/>
      <c r="E553" s="405"/>
      <c r="F553" s="664">
        <f t="shared" ref="F553:U553" si="259">F546-SUM(F547:F552)</f>
        <v>0</v>
      </c>
      <c r="G553" s="664">
        <f t="shared" si="259"/>
        <v>0</v>
      </c>
      <c r="H553" s="664">
        <f t="shared" si="259"/>
        <v>0</v>
      </c>
      <c r="I553" s="664">
        <f t="shared" si="259"/>
        <v>0</v>
      </c>
      <c r="J553" s="664">
        <f t="shared" si="259"/>
        <v>0</v>
      </c>
      <c r="K553" s="664">
        <f>K546-SUM(K547:K552)</f>
        <v>0</v>
      </c>
      <c r="L553" s="664">
        <f t="shared" si="259"/>
        <v>0</v>
      </c>
      <c r="M553" s="664">
        <f t="shared" si="259"/>
        <v>0</v>
      </c>
      <c r="N553" s="664">
        <f t="shared" si="259"/>
        <v>0</v>
      </c>
      <c r="O553" s="664">
        <f t="shared" si="259"/>
        <v>0</v>
      </c>
      <c r="P553" s="664">
        <f>P546-SUM(P547:P552)</f>
        <v>0</v>
      </c>
      <c r="Q553" s="664">
        <f t="shared" si="259"/>
        <v>0</v>
      </c>
      <c r="R553" s="664">
        <f t="shared" si="259"/>
        <v>0</v>
      </c>
      <c r="S553" s="664">
        <f t="shared" si="259"/>
        <v>0</v>
      </c>
      <c r="T553" s="664">
        <f t="shared" si="259"/>
        <v>0</v>
      </c>
      <c r="U553" s="664">
        <f t="shared" si="259"/>
        <v>0</v>
      </c>
    </row>
    <row r="554" spans="1:21" s="59" customFormat="1" ht="15.75">
      <c r="A554" s="769"/>
      <c r="B554" s="656"/>
      <c r="C554" s="404"/>
      <c r="D554" s="641"/>
      <c r="E554" s="405"/>
      <c r="F554" s="690"/>
      <c r="G554" s="690"/>
      <c r="H554" s="690"/>
      <c r="I554" s="690"/>
      <c r="J554" s="690"/>
      <c r="K554" s="690"/>
      <c r="L554" s="690"/>
      <c r="M554" s="690"/>
      <c r="N554" s="690"/>
      <c r="O554" s="690"/>
      <c r="P554" s="690"/>
      <c r="Q554" s="690"/>
      <c r="R554" s="690"/>
      <c r="S554" s="690"/>
      <c r="T554" s="690"/>
      <c r="U554" s="690"/>
    </row>
    <row r="555" spans="1:21" s="288" customFormat="1" ht="15.75">
      <c r="A555" s="417" t="s">
        <v>554</v>
      </c>
      <c r="B555" s="693" t="s">
        <v>283</v>
      </c>
      <c r="C555" s="289"/>
      <c r="D555" s="398"/>
      <c r="E555" s="399"/>
      <c r="F555" s="666">
        <f>0.05*F$258</f>
        <v>153.34</v>
      </c>
      <c r="G555" s="666">
        <f>0.04*G$258</f>
        <v>54.120000000000005</v>
      </c>
      <c r="H555" s="668">
        <f>0.01*H$258</f>
        <v>13.530000000000001</v>
      </c>
      <c r="I555" s="666"/>
      <c r="J555" s="666"/>
      <c r="K555" s="668">
        <f>0.01*K$258</f>
        <v>13.530000000000001</v>
      </c>
      <c r="L555" s="666"/>
      <c r="M555" s="666"/>
      <c r="N555" s="666"/>
      <c r="O555" s="666"/>
      <c r="P555" s="666"/>
      <c r="Q555" s="668">
        <f>0.01*Q$258</f>
        <v>40.589999999999996</v>
      </c>
      <c r="R555" s="668">
        <f>0.01*R$258</f>
        <v>40.589999999999996</v>
      </c>
      <c r="S555" s="666">
        <v>0</v>
      </c>
      <c r="T555" s="666">
        <v>0</v>
      </c>
      <c r="U555" s="666">
        <v>0</v>
      </c>
    </row>
    <row r="556" spans="1:21" s="432" customFormat="1" ht="15.75">
      <c r="A556" s="526" t="s">
        <v>555</v>
      </c>
      <c r="B556" s="695" t="s">
        <v>326</v>
      </c>
      <c r="C556" s="428"/>
      <c r="D556" s="430" t="s">
        <v>890</v>
      </c>
      <c r="E556" s="431"/>
      <c r="F556" s="683">
        <f>0.15*F555</f>
        <v>23.001000000000001</v>
      </c>
      <c r="G556" s="683">
        <f t="shared" ref="G556:R556" si="260">0.15*G555</f>
        <v>8.1180000000000003</v>
      </c>
      <c r="H556" s="683">
        <f t="shared" si="260"/>
        <v>2.0295000000000001</v>
      </c>
      <c r="I556" s="683"/>
      <c r="J556" s="683"/>
      <c r="K556" s="683">
        <f t="shared" si="260"/>
        <v>2.0295000000000001</v>
      </c>
      <c r="L556" s="683"/>
      <c r="M556" s="683"/>
      <c r="N556" s="683"/>
      <c r="O556" s="683"/>
      <c r="P556" s="683"/>
      <c r="Q556" s="683">
        <f t="shared" si="260"/>
        <v>6.0884999999999989</v>
      </c>
      <c r="R556" s="683">
        <f t="shared" si="260"/>
        <v>6.0884999999999989</v>
      </c>
      <c r="S556" s="463"/>
      <c r="T556" s="463"/>
      <c r="U556" s="441"/>
    </row>
    <row r="557" spans="1:21" s="432" customFormat="1" ht="15.75">
      <c r="A557" s="526" t="s">
        <v>556</v>
      </c>
      <c r="B557" s="695" t="s">
        <v>135</v>
      </c>
      <c r="C557" s="428"/>
      <c r="D557" s="430" t="s">
        <v>890</v>
      </c>
      <c r="E557" s="431"/>
      <c r="F557" s="683">
        <f>0.15*F555</f>
        <v>23.001000000000001</v>
      </c>
      <c r="G557" s="683">
        <f t="shared" ref="G557:R557" si="261">0.15*G555</f>
        <v>8.1180000000000003</v>
      </c>
      <c r="H557" s="683">
        <f t="shared" si="261"/>
        <v>2.0295000000000001</v>
      </c>
      <c r="I557" s="683"/>
      <c r="J557" s="683"/>
      <c r="K557" s="683">
        <f t="shared" si="261"/>
        <v>2.0295000000000001</v>
      </c>
      <c r="L557" s="683"/>
      <c r="M557" s="683"/>
      <c r="N557" s="683"/>
      <c r="O557" s="683"/>
      <c r="P557" s="683"/>
      <c r="Q557" s="683">
        <f t="shared" si="261"/>
        <v>6.0884999999999989</v>
      </c>
      <c r="R557" s="683">
        <f t="shared" si="261"/>
        <v>6.0884999999999989</v>
      </c>
      <c r="S557" s="463"/>
      <c r="T557" s="463"/>
      <c r="U557" s="441"/>
    </row>
    <row r="558" spans="1:21" s="432" customFormat="1" ht="15.75">
      <c r="A558" s="657" t="s">
        <v>557</v>
      </c>
      <c r="B558" s="658" t="s">
        <v>105</v>
      </c>
      <c r="C558" s="434"/>
      <c r="D558" s="430" t="s">
        <v>890</v>
      </c>
      <c r="E558" s="435"/>
      <c r="F558" s="683">
        <f t="shared" ref="F558:H558" si="262">0.1*F$555</f>
        <v>15.334000000000001</v>
      </c>
      <c r="G558" s="683">
        <f t="shared" si="262"/>
        <v>5.4120000000000008</v>
      </c>
      <c r="H558" s="683">
        <f t="shared" si="262"/>
        <v>1.3530000000000002</v>
      </c>
      <c r="I558" s="683"/>
      <c r="J558" s="683"/>
      <c r="K558" s="683">
        <f>0.1*K$555</f>
        <v>1.3530000000000002</v>
      </c>
      <c r="L558" s="683"/>
      <c r="M558" s="683"/>
      <c r="N558" s="683"/>
      <c r="O558" s="683"/>
      <c r="P558" s="683"/>
      <c r="Q558" s="683">
        <f t="shared" ref="Q558:R558" si="263">0.1*Q$555</f>
        <v>4.0590000000000002</v>
      </c>
      <c r="R558" s="683">
        <f t="shared" si="263"/>
        <v>4.0590000000000002</v>
      </c>
      <c r="S558" s="460"/>
      <c r="T558" s="460"/>
      <c r="U558" s="441"/>
    </row>
    <row r="559" spans="1:21" s="432" customFormat="1" ht="15.75">
      <c r="A559" s="657" t="s">
        <v>558</v>
      </c>
      <c r="B559" s="658" t="s">
        <v>142</v>
      </c>
      <c r="C559" s="434"/>
      <c r="D559" s="430" t="s">
        <v>890</v>
      </c>
      <c r="E559" s="435"/>
      <c r="F559" s="683">
        <f>0.4*F555</f>
        <v>61.336000000000006</v>
      </c>
      <c r="G559" s="683">
        <f t="shared" ref="G559:R559" si="264">0.4*G555</f>
        <v>21.648000000000003</v>
      </c>
      <c r="H559" s="683">
        <f t="shared" si="264"/>
        <v>5.4120000000000008</v>
      </c>
      <c r="I559" s="683"/>
      <c r="J559" s="683"/>
      <c r="K559" s="683">
        <f t="shared" si="264"/>
        <v>5.4120000000000008</v>
      </c>
      <c r="L559" s="683"/>
      <c r="M559" s="683"/>
      <c r="N559" s="683"/>
      <c r="O559" s="683"/>
      <c r="P559" s="683"/>
      <c r="Q559" s="683">
        <f t="shared" si="264"/>
        <v>16.236000000000001</v>
      </c>
      <c r="R559" s="683">
        <f t="shared" si="264"/>
        <v>16.236000000000001</v>
      </c>
      <c r="S559" s="460"/>
      <c r="T559" s="460"/>
      <c r="U559" s="441"/>
    </row>
    <row r="560" spans="1:21" s="432" customFormat="1" ht="15.75">
      <c r="A560" s="657" t="s">
        <v>559</v>
      </c>
      <c r="B560" s="658" t="s">
        <v>150</v>
      </c>
      <c r="C560" s="428"/>
      <c r="D560" s="430" t="s">
        <v>890</v>
      </c>
      <c r="E560" s="431"/>
      <c r="F560" s="683">
        <f>0.2*F$555</f>
        <v>30.668000000000003</v>
      </c>
      <c r="G560" s="683">
        <f>0.2*G$555</f>
        <v>10.824000000000002</v>
      </c>
      <c r="H560" s="683">
        <f>0.2*H$555</f>
        <v>2.7060000000000004</v>
      </c>
      <c r="I560" s="683"/>
      <c r="J560" s="683"/>
      <c r="K560" s="683">
        <f>0.2*K$555</f>
        <v>2.7060000000000004</v>
      </c>
      <c r="L560" s="683"/>
      <c r="M560" s="683"/>
      <c r="N560" s="683"/>
      <c r="O560" s="683"/>
      <c r="P560" s="683"/>
      <c r="Q560" s="683">
        <f>0.2*Q$555</f>
        <v>8.1180000000000003</v>
      </c>
      <c r="R560" s="683">
        <f>0.2*R$555</f>
        <v>8.1180000000000003</v>
      </c>
      <c r="S560" s="463"/>
      <c r="T560" s="463"/>
      <c r="U560" s="441"/>
    </row>
    <row r="561" spans="1:21" s="306" customFormat="1" ht="15.75">
      <c r="A561" s="242"/>
      <c r="B561" s="603"/>
      <c r="C561" s="320"/>
      <c r="D561" s="243"/>
      <c r="E561" s="244"/>
      <c r="F561" s="672">
        <f t="shared" ref="F561:U561" si="265">F555-SUM(F556:F560)</f>
        <v>0</v>
      </c>
      <c r="G561" s="672">
        <f t="shared" si="265"/>
        <v>0</v>
      </c>
      <c r="H561" s="672">
        <f t="shared" si="265"/>
        <v>0</v>
      </c>
      <c r="I561" s="672">
        <f t="shared" si="265"/>
        <v>0</v>
      </c>
      <c r="J561" s="672">
        <f t="shared" si="265"/>
        <v>0</v>
      </c>
      <c r="K561" s="672">
        <f>K555-SUM(K556:K560)</f>
        <v>0</v>
      </c>
      <c r="L561" s="672">
        <f t="shared" si="265"/>
        <v>0</v>
      </c>
      <c r="M561" s="672">
        <f t="shared" si="265"/>
        <v>0</v>
      </c>
      <c r="N561" s="672">
        <f t="shared" si="265"/>
        <v>0</v>
      </c>
      <c r="O561" s="672">
        <f t="shared" si="265"/>
        <v>0</v>
      </c>
      <c r="P561" s="672">
        <f>P555-SUM(P556:P560)</f>
        <v>0</v>
      </c>
      <c r="Q561" s="672">
        <f t="shared" si="265"/>
        <v>0</v>
      </c>
      <c r="R561" s="672">
        <f t="shared" si="265"/>
        <v>0</v>
      </c>
      <c r="S561" s="672">
        <f t="shared" si="265"/>
        <v>0</v>
      </c>
      <c r="T561" s="672">
        <f t="shared" si="265"/>
        <v>0</v>
      </c>
      <c r="U561" s="672">
        <f t="shared" si="265"/>
        <v>0</v>
      </c>
    </row>
    <row r="562" spans="1:21" s="59" customFormat="1" ht="15.75">
      <c r="A562" s="769"/>
      <c r="B562" s="656"/>
      <c r="C562" s="768"/>
      <c r="D562" s="641"/>
      <c r="E562" s="405"/>
      <c r="F562" s="683"/>
      <c r="G562" s="683"/>
      <c r="H562" s="683"/>
      <c r="I562" s="683"/>
      <c r="J562" s="683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</row>
    <row r="563" spans="1:21" s="288" customFormat="1" ht="15.75">
      <c r="A563" s="391" t="s">
        <v>560</v>
      </c>
      <c r="B563" s="693" t="s">
        <v>287</v>
      </c>
      <c r="C563" s="290"/>
      <c r="D563" s="398"/>
      <c r="E563" s="291"/>
      <c r="F563" s="666">
        <f>0.01*F$258</f>
        <v>30.667999999999999</v>
      </c>
      <c r="G563" s="666">
        <f>0.01*G$258</f>
        <v>13.530000000000001</v>
      </c>
      <c r="H563" s="668">
        <f>0.01*H$258</f>
        <v>13.530000000000001</v>
      </c>
      <c r="I563" s="666"/>
      <c r="J563" s="668">
        <f>0.005*J$258</f>
        <v>6.7650000000000006</v>
      </c>
      <c r="K563" s="668">
        <f>0.01*K$258</f>
        <v>13.530000000000001</v>
      </c>
      <c r="L563" s="666"/>
      <c r="M563" s="666"/>
      <c r="N563" s="666"/>
      <c r="O563" s="666"/>
      <c r="P563" s="666">
        <f>0.18*P$258</f>
        <v>64.943999999999988</v>
      </c>
      <c r="Q563" s="668">
        <f>0.01*Q$258</f>
        <v>40.589999999999996</v>
      </c>
      <c r="R563" s="668">
        <f>0.01*R$258</f>
        <v>40.589999999999996</v>
      </c>
      <c r="S563" s="666">
        <v>0</v>
      </c>
      <c r="T563" s="666">
        <v>0</v>
      </c>
      <c r="U563" s="666">
        <v>0</v>
      </c>
    </row>
    <row r="564" spans="1:21" s="59" customFormat="1" ht="15.75">
      <c r="A564" s="426" t="s">
        <v>561</v>
      </c>
      <c r="B564" s="658" t="s">
        <v>326</v>
      </c>
      <c r="C564" s="396"/>
      <c r="D564" s="641" t="s">
        <v>890</v>
      </c>
      <c r="E564" s="397"/>
      <c r="F564" s="691">
        <f>0.2*F$563</f>
        <v>6.1336000000000004</v>
      </c>
      <c r="G564" s="691">
        <f t="shared" ref="G564:R564" si="266">0.2*G$563</f>
        <v>2.7060000000000004</v>
      </c>
      <c r="H564" s="691">
        <f t="shared" si="266"/>
        <v>2.7060000000000004</v>
      </c>
      <c r="I564" s="691"/>
      <c r="J564" s="691">
        <f t="shared" si="266"/>
        <v>1.3530000000000002</v>
      </c>
      <c r="K564" s="691">
        <f t="shared" si="266"/>
        <v>2.7060000000000004</v>
      </c>
      <c r="L564" s="691"/>
      <c r="M564" s="691"/>
      <c r="N564" s="691"/>
      <c r="O564" s="691"/>
      <c r="P564" s="691">
        <f>0.2*P$563</f>
        <v>12.988799999999998</v>
      </c>
      <c r="Q564" s="691">
        <f t="shared" si="266"/>
        <v>8.1180000000000003</v>
      </c>
      <c r="R564" s="691">
        <f t="shared" si="266"/>
        <v>8.1180000000000003</v>
      </c>
      <c r="S564" s="327"/>
      <c r="T564" s="327"/>
      <c r="U564" s="454"/>
    </row>
    <row r="565" spans="1:21" s="432" customFormat="1" ht="15.75">
      <c r="A565" s="525" t="s">
        <v>562</v>
      </c>
      <c r="B565" s="695" t="s">
        <v>135</v>
      </c>
      <c r="C565" s="434"/>
      <c r="D565" s="430" t="s">
        <v>890</v>
      </c>
      <c r="E565" s="435"/>
      <c r="F565" s="691">
        <f>0.15*F563</f>
        <v>4.6002000000000001</v>
      </c>
      <c r="G565" s="691">
        <f t="shared" ref="G565:R565" si="267">0.15*G563</f>
        <v>2.0295000000000001</v>
      </c>
      <c r="H565" s="691">
        <f t="shared" si="267"/>
        <v>2.0295000000000001</v>
      </c>
      <c r="I565" s="691"/>
      <c r="J565" s="691">
        <f t="shared" si="267"/>
        <v>1.01475</v>
      </c>
      <c r="K565" s="691">
        <f t="shared" si="267"/>
        <v>2.0295000000000001</v>
      </c>
      <c r="L565" s="691"/>
      <c r="M565" s="691"/>
      <c r="N565" s="691"/>
      <c r="O565" s="691"/>
      <c r="P565" s="691">
        <f t="shared" si="267"/>
        <v>9.7415999999999983</v>
      </c>
      <c r="Q565" s="691">
        <f t="shared" si="267"/>
        <v>6.0884999999999989</v>
      </c>
      <c r="R565" s="691">
        <f t="shared" si="267"/>
        <v>6.0884999999999989</v>
      </c>
      <c r="S565" s="460"/>
      <c r="T565" s="460"/>
      <c r="U565" s="441"/>
    </row>
    <row r="566" spans="1:21" s="432" customFormat="1" ht="15.75">
      <c r="A566" s="433" t="s">
        <v>563</v>
      </c>
      <c r="B566" s="658" t="s">
        <v>105</v>
      </c>
      <c r="C566" s="434"/>
      <c r="D566" s="430" t="s">
        <v>890</v>
      </c>
      <c r="E566" s="435"/>
      <c r="F566" s="691">
        <f>0.1*F$563</f>
        <v>3.0668000000000002</v>
      </c>
      <c r="G566" s="691">
        <f t="shared" ref="G566:R566" si="268">0.1*G$563</f>
        <v>1.3530000000000002</v>
      </c>
      <c r="H566" s="691">
        <f t="shared" si="268"/>
        <v>1.3530000000000002</v>
      </c>
      <c r="I566" s="691"/>
      <c r="J566" s="691">
        <f t="shared" si="268"/>
        <v>0.6765000000000001</v>
      </c>
      <c r="K566" s="691">
        <f t="shared" si="268"/>
        <v>1.3530000000000002</v>
      </c>
      <c r="L566" s="691"/>
      <c r="M566" s="691"/>
      <c r="N566" s="691"/>
      <c r="O566" s="691"/>
      <c r="P566" s="691">
        <f t="shared" si="268"/>
        <v>6.4943999999999988</v>
      </c>
      <c r="Q566" s="691">
        <f t="shared" si="268"/>
        <v>4.0590000000000002</v>
      </c>
      <c r="R566" s="691">
        <f t="shared" si="268"/>
        <v>4.0590000000000002</v>
      </c>
      <c r="S566" s="460"/>
      <c r="T566" s="460"/>
      <c r="U566" s="441"/>
    </row>
    <row r="567" spans="1:21" s="59" customFormat="1" ht="15.75">
      <c r="A567" s="426" t="s">
        <v>564</v>
      </c>
      <c r="B567" s="658" t="s">
        <v>142</v>
      </c>
      <c r="C567" s="396"/>
      <c r="D567" s="641" t="s">
        <v>890</v>
      </c>
      <c r="E567" s="397"/>
      <c r="F567" s="691">
        <f>0.2*F563</f>
        <v>6.1336000000000004</v>
      </c>
      <c r="G567" s="691">
        <f t="shared" ref="G567:R567" si="269">0.2*G563</f>
        <v>2.7060000000000004</v>
      </c>
      <c r="H567" s="691">
        <f t="shared" si="269"/>
        <v>2.7060000000000004</v>
      </c>
      <c r="I567" s="691"/>
      <c r="J567" s="691">
        <f t="shared" si="269"/>
        <v>1.3530000000000002</v>
      </c>
      <c r="K567" s="691">
        <f t="shared" si="269"/>
        <v>2.7060000000000004</v>
      </c>
      <c r="L567" s="691"/>
      <c r="M567" s="691"/>
      <c r="N567" s="691"/>
      <c r="O567" s="691"/>
      <c r="P567" s="691">
        <f t="shared" si="269"/>
        <v>12.988799999999998</v>
      </c>
      <c r="Q567" s="691">
        <f t="shared" si="269"/>
        <v>8.1180000000000003</v>
      </c>
      <c r="R567" s="691">
        <f t="shared" si="269"/>
        <v>8.1180000000000003</v>
      </c>
      <c r="S567" s="327"/>
      <c r="T567" s="327"/>
      <c r="U567" s="454"/>
    </row>
    <row r="568" spans="1:21" s="59" customFormat="1" ht="15.75">
      <c r="A568" s="426" t="s">
        <v>565</v>
      </c>
      <c r="B568" s="658" t="s">
        <v>150</v>
      </c>
      <c r="C568" s="396"/>
      <c r="D568" s="641" t="s">
        <v>890</v>
      </c>
      <c r="E568" s="397"/>
      <c r="F568" s="691">
        <f>0.2*F$563</f>
        <v>6.1336000000000004</v>
      </c>
      <c r="G568" s="691">
        <f t="shared" ref="G568:R568" si="270">0.2*G$563</f>
        <v>2.7060000000000004</v>
      </c>
      <c r="H568" s="691">
        <f t="shared" si="270"/>
        <v>2.7060000000000004</v>
      </c>
      <c r="I568" s="691"/>
      <c r="J568" s="691">
        <f t="shared" si="270"/>
        <v>1.3530000000000002</v>
      </c>
      <c r="K568" s="691">
        <f t="shared" si="270"/>
        <v>2.7060000000000004</v>
      </c>
      <c r="L568" s="691"/>
      <c r="M568" s="691"/>
      <c r="N568" s="691"/>
      <c r="O568" s="691"/>
      <c r="P568" s="691">
        <f t="shared" si="270"/>
        <v>12.988799999999998</v>
      </c>
      <c r="Q568" s="691">
        <f t="shared" si="270"/>
        <v>8.1180000000000003</v>
      </c>
      <c r="R568" s="691">
        <f t="shared" si="270"/>
        <v>8.1180000000000003</v>
      </c>
      <c r="S568" s="327"/>
      <c r="T568" s="327"/>
      <c r="U568" s="454"/>
    </row>
    <row r="569" spans="1:21" s="432" customFormat="1" ht="15.75">
      <c r="A569" s="525" t="s">
        <v>566</v>
      </c>
      <c r="B569" s="695" t="s">
        <v>213</v>
      </c>
      <c r="C569" s="434"/>
      <c r="D569" s="430" t="s">
        <v>890</v>
      </c>
      <c r="E569" s="435"/>
      <c r="F569" s="691">
        <f>0.15*F563</f>
        <v>4.6002000000000001</v>
      </c>
      <c r="G569" s="691">
        <f t="shared" ref="G569:R569" si="271">0.15*G563</f>
        <v>2.0295000000000001</v>
      </c>
      <c r="H569" s="691">
        <f t="shared" si="271"/>
        <v>2.0295000000000001</v>
      </c>
      <c r="I569" s="691"/>
      <c r="J569" s="691">
        <f t="shared" si="271"/>
        <v>1.01475</v>
      </c>
      <c r="K569" s="691">
        <f t="shared" si="271"/>
        <v>2.0295000000000001</v>
      </c>
      <c r="L569" s="691"/>
      <c r="M569" s="691"/>
      <c r="N569" s="691"/>
      <c r="O569" s="691"/>
      <c r="P569" s="691">
        <f t="shared" si="271"/>
        <v>9.7415999999999983</v>
      </c>
      <c r="Q569" s="691">
        <f t="shared" si="271"/>
        <v>6.0884999999999989</v>
      </c>
      <c r="R569" s="691">
        <f t="shared" si="271"/>
        <v>6.0884999999999989</v>
      </c>
      <c r="S569" s="460"/>
      <c r="T569" s="460"/>
      <c r="U569" s="441"/>
    </row>
    <row r="570" spans="1:21" s="284" customFormat="1" ht="15.75">
      <c r="A570" s="426"/>
      <c r="B570" s="656"/>
      <c r="C570" s="396"/>
      <c r="D570" s="641"/>
      <c r="E570" s="397"/>
      <c r="F570" s="672">
        <f t="shared" ref="F570:U570" si="272">F563-SUM(F564:F569)</f>
        <v>0</v>
      </c>
      <c r="G570" s="672">
        <f>G563-SUM(G564:G569)</f>
        <v>0</v>
      </c>
      <c r="H570" s="672">
        <f t="shared" si="272"/>
        <v>0</v>
      </c>
      <c r="I570" s="672">
        <f t="shared" si="272"/>
        <v>0</v>
      </c>
      <c r="J570" s="672">
        <f t="shared" si="272"/>
        <v>0</v>
      </c>
      <c r="K570" s="672">
        <f>K563-SUM(K564:K569)</f>
        <v>0</v>
      </c>
      <c r="L570" s="672">
        <f t="shared" si="272"/>
        <v>0</v>
      </c>
      <c r="M570" s="672">
        <f t="shared" si="272"/>
        <v>0</v>
      </c>
      <c r="N570" s="672">
        <f t="shared" si="272"/>
        <v>0</v>
      </c>
      <c r="O570" s="672">
        <f t="shared" si="272"/>
        <v>0</v>
      </c>
      <c r="P570" s="672">
        <f>P563-SUM(P564:P569)</f>
        <v>0</v>
      </c>
      <c r="Q570" s="672">
        <f t="shared" si="272"/>
        <v>0</v>
      </c>
      <c r="R570" s="672">
        <f t="shared" si="272"/>
        <v>0</v>
      </c>
      <c r="S570" s="672">
        <f t="shared" si="272"/>
        <v>0</v>
      </c>
      <c r="T570" s="672">
        <f t="shared" si="272"/>
        <v>0</v>
      </c>
      <c r="U570" s="672">
        <f t="shared" si="272"/>
        <v>0</v>
      </c>
    </row>
    <row r="571" spans="1:21" s="59" customFormat="1" ht="15.75">
      <c r="A571" s="769"/>
      <c r="B571" s="656"/>
      <c r="C571" s="404"/>
      <c r="D571" s="641"/>
      <c r="E571" s="405"/>
      <c r="F571" s="690"/>
      <c r="G571" s="690"/>
      <c r="H571" s="690"/>
      <c r="I571" s="690"/>
      <c r="J571" s="690"/>
      <c r="K571" s="690"/>
      <c r="L571" s="690"/>
      <c r="M571" s="690"/>
      <c r="N571" s="690"/>
      <c r="O571" s="690"/>
      <c r="P571" s="690"/>
      <c r="Q571" s="690"/>
      <c r="R571" s="690"/>
      <c r="S571" s="690"/>
      <c r="T571" s="690"/>
      <c r="U571" s="690"/>
    </row>
    <row r="572" spans="1:21" s="288" customFormat="1" ht="15.75">
      <c r="A572" s="417" t="s">
        <v>567</v>
      </c>
      <c r="B572" s="693" t="s">
        <v>291</v>
      </c>
      <c r="C572" s="427"/>
      <c r="D572" s="398"/>
      <c r="E572" s="399"/>
      <c r="F572" s="666"/>
      <c r="G572" s="666">
        <f>0.002*G$258</f>
        <v>2.706</v>
      </c>
      <c r="H572" s="668">
        <f>0.02*H$258</f>
        <v>27.060000000000002</v>
      </c>
      <c r="I572" s="666"/>
      <c r="J572" s="668">
        <f>0.01*J$258</f>
        <v>13.530000000000001</v>
      </c>
      <c r="K572" s="668">
        <f>0.02*K$258</f>
        <v>27.060000000000002</v>
      </c>
      <c r="L572" s="666"/>
      <c r="M572" s="668">
        <f>0.01*M$258</f>
        <v>13.530000000000001</v>
      </c>
      <c r="N572" s="666"/>
      <c r="O572" s="668">
        <f>0.02*O$258</f>
        <v>27.060000000000002</v>
      </c>
      <c r="P572" s="668">
        <f>0.02*P$258</f>
        <v>7.2159999999999993</v>
      </c>
      <c r="Q572" s="666"/>
      <c r="R572" s="666"/>
      <c r="S572" s="666">
        <v>0</v>
      </c>
      <c r="T572" s="666">
        <v>0</v>
      </c>
      <c r="U572" s="666">
        <v>0</v>
      </c>
    </row>
    <row r="573" spans="1:21" s="59" customFormat="1" ht="15" customHeight="1">
      <c r="A573" s="526" t="s">
        <v>568</v>
      </c>
      <c r="B573" s="695" t="s">
        <v>569</v>
      </c>
      <c r="C573" s="404"/>
      <c r="D573" s="641" t="s">
        <v>890</v>
      </c>
      <c r="E573" s="405"/>
      <c r="F573" s="690"/>
      <c r="G573" s="679">
        <f>0.3*G$572</f>
        <v>0.81179999999999997</v>
      </c>
      <c r="H573" s="679">
        <f t="shared" ref="H573:O573" si="273">0.3*H$572</f>
        <v>8.1180000000000003</v>
      </c>
      <c r="I573" s="679"/>
      <c r="J573" s="679">
        <f t="shared" si="273"/>
        <v>4.0590000000000002</v>
      </c>
      <c r="K573" s="679">
        <f t="shared" si="273"/>
        <v>8.1180000000000003</v>
      </c>
      <c r="L573" s="679"/>
      <c r="M573" s="679">
        <f t="shared" si="273"/>
        <v>4.0590000000000002</v>
      </c>
      <c r="N573" s="679"/>
      <c r="O573" s="679">
        <f t="shared" si="273"/>
        <v>8.1180000000000003</v>
      </c>
      <c r="P573" s="679">
        <f>0.3*P$572</f>
        <v>2.1647999999999996</v>
      </c>
      <c r="Q573" s="679"/>
      <c r="R573" s="679"/>
      <c r="S573" s="679"/>
      <c r="T573" s="679"/>
      <c r="U573" s="679"/>
    </row>
    <row r="574" spans="1:21" s="368" customFormat="1" ht="15" customHeight="1">
      <c r="A574" s="769" t="s">
        <v>570</v>
      </c>
      <c r="B574" s="656" t="s">
        <v>571</v>
      </c>
      <c r="C574" s="404"/>
      <c r="D574" s="430" t="s">
        <v>890</v>
      </c>
      <c r="E574" s="405"/>
      <c r="F574" s="690"/>
      <c r="G574" s="679">
        <f>0.7*G$572</f>
        <v>1.8941999999999999</v>
      </c>
      <c r="H574" s="679">
        <f t="shared" ref="H574:O574" si="274">0.7*H$572</f>
        <v>18.942</v>
      </c>
      <c r="I574" s="679"/>
      <c r="J574" s="679">
        <f t="shared" si="274"/>
        <v>9.4710000000000001</v>
      </c>
      <c r="K574" s="679">
        <f t="shared" si="274"/>
        <v>18.942</v>
      </c>
      <c r="L574" s="679"/>
      <c r="M574" s="679">
        <f t="shared" si="274"/>
        <v>9.4710000000000001</v>
      </c>
      <c r="N574" s="679"/>
      <c r="O574" s="679">
        <f t="shared" si="274"/>
        <v>18.942</v>
      </c>
      <c r="P574" s="679">
        <f>0.7*P$572</f>
        <v>5.0511999999999988</v>
      </c>
      <c r="Q574" s="679"/>
      <c r="R574" s="679"/>
      <c r="S574" s="679"/>
      <c r="T574" s="679"/>
      <c r="U574" s="679"/>
    </row>
    <row r="575" spans="1:21" s="284" customFormat="1" ht="15.75">
      <c r="A575" s="769"/>
      <c r="B575" s="656"/>
      <c r="C575" s="404"/>
      <c r="D575" s="641"/>
      <c r="E575" s="405"/>
      <c r="F575" s="664">
        <f>F572-(F573+F574)</f>
        <v>0</v>
      </c>
      <c r="G575" s="664">
        <f t="shared" ref="G575:U575" si="275">G572-(G573+G574)</f>
        <v>0</v>
      </c>
      <c r="H575" s="664">
        <f t="shared" si="275"/>
        <v>0</v>
      </c>
      <c r="I575" s="664">
        <f t="shared" si="275"/>
        <v>0</v>
      </c>
      <c r="J575" s="664">
        <f t="shared" si="275"/>
        <v>0</v>
      </c>
      <c r="K575" s="664">
        <f>K572-(K573+K574)</f>
        <v>0</v>
      </c>
      <c r="L575" s="664">
        <f t="shared" si="275"/>
        <v>0</v>
      </c>
      <c r="M575" s="664">
        <f t="shared" si="275"/>
        <v>0</v>
      </c>
      <c r="N575" s="664">
        <f t="shared" si="275"/>
        <v>0</v>
      </c>
      <c r="O575" s="664">
        <f t="shared" si="275"/>
        <v>0</v>
      </c>
      <c r="P575" s="664">
        <f t="shared" si="275"/>
        <v>0</v>
      </c>
      <c r="Q575" s="664">
        <f t="shared" si="275"/>
        <v>0</v>
      </c>
      <c r="R575" s="664">
        <f t="shared" si="275"/>
        <v>0</v>
      </c>
      <c r="S575" s="664">
        <f t="shared" si="275"/>
        <v>0</v>
      </c>
      <c r="T575" s="664">
        <f t="shared" si="275"/>
        <v>0</v>
      </c>
      <c r="U575" s="664">
        <f t="shared" si="275"/>
        <v>0</v>
      </c>
    </row>
    <row r="576" spans="1:21" s="284" customFormat="1" ht="15.75">
      <c r="A576" s="769"/>
      <c r="B576" s="656"/>
      <c r="C576" s="404"/>
      <c r="D576" s="641"/>
      <c r="E576" s="405"/>
      <c r="F576" s="690"/>
      <c r="G576" s="679"/>
      <c r="H576" s="679"/>
      <c r="I576" s="679"/>
      <c r="J576" s="679"/>
      <c r="K576" s="679"/>
      <c r="L576" s="679"/>
      <c r="M576" s="679"/>
      <c r="N576" s="679"/>
      <c r="O576" s="679"/>
      <c r="P576" s="679"/>
      <c r="Q576" s="679"/>
      <c r="R576" s="679"/>
      <c r="S576" s="679"/>
      <c r="T576" s="679"/>
      <c r="U576" s="679"/>
    </row>
    <row r="577" spans="1:24" s="288" customFormat="1" ht="16.5" customHeight="1">
      <c r="A577" s="307"/>
      <c r="B577" s="602" t="s">
        <v>572</v>
      </c>
      <c r="C577" s="427"/>
      <c r="D577" s="398" t="s">
        <v>902</v>
      </c>
      <c r="E577" s="399"/>
      <c r="F577" s="669">
        <f>F12*0.41</f>
        <v>3066.7999999999997</v>
      </c>
      <c r="G577" s="669">
        <f t="shared" ref="G577:R577" si="276">G12*0.41</f>
        <v>1353</v>
      </c>
      <c r="H577" s="669">
        <f t="shared" si="276"/>
        <v>1353</v>
      </c>
      <c r="I577" s="669">
        <f t="shared" si="276"/>
        <v>2706</v>
      </c>
      <c r="J577" s="669">
        <f t="shared" si="276"/>
        <v>1353</v>
      </c>
      <c r="K577" s="669">
        <f t="shared" si="276"/>
        <v>1353</v>
      </c>
      <c r="L577" s="669">
        <f t="shared" si="276"/>
        <v>2706</v>
      </c>
      <c r="M577" s="669">
        <f t="shared" si="276"/>
        <v>1353</v>
      </c>
      <c r="N577" s="669">
        <f t="shared" si="276"/>
        <v>1353</v>
      </c>
      <c r="O577" s="669">
        <f t="shared" si="276"/>
        <v>1353</v>
      </c>
      <c r="P577" s="669">
        <f t="shared" si="276"/>
        <v>360.79999999999995</v>
      </c>
      <c r="Q577" s="669">
        <f t="shared" si="276"/>
        <v>4058.9999999999995</v>
      </c>
      <c r="R577" s="669">
        <f t="shared" si="276"/>
        <v>4058.9999999999995</v>
      </c>
      <c r="S577" s="400"/>
      <c r="T577" s="400"/>
      <c r="U577" s="328"/>
      <c r="V577" s="401"/>
      <c r="W577" s="308"/>
      <c r="X577" s="308"/>
    </row>
    <row r="578" spans="1:24" s="284" customFormat="1" ht="16.5" customHeight="1">
      <c r="A578" s="769"/>
      <c r="B578" s="656"/>
      <c r="C578" s="404"/>
      <c r="D578" s="641"/>
      <c r="E578" s="405"/>
      <c r="F578" s="690"/>
      <c r="G578" s="679"/>
      <c r="H578" s="679"/>
      <c r="I578" s="679"/>
      <c r="J578" s="679"/>
      <c r="K578" s="679"/>
      <c r="L578" s="679"/>
      <c r="M578" s="679"/>
      <c r="N578" s="679"/>
      <c r="O578" s="679"/>
      <c r="P578" s="679"/>
      <c r="Q578" s="679"/>
      <c r="R578" s="679"/>
      <c r="S578" s="442"/>
      <c r="T578" s="442"/>
      <c r="U578" s="454"/>
      <c r="V578" s="766"/>
      <c r="W578" s="406"/>
      <c r="X578" s="406"/>
    </row>
    <row r="579" spans="1:24" s="296" customFormat="1" ht="16.5" customHeight="1">
      <c r="A579" s="293"/>
      <c r="B579" s="601"/>
      <c r="C579" s="321"/>
      <c r="D579" s="294" t="s">
        <v>902</v>
      </c>
      <c r="E579" s="295"/>
      <c r="F579" s="667">
        <f>F572+F563+F555+F546+F537+F527+F517+F507+F498+F489+F480+F470+F460+F451+F441+F431+F421+F411+F402+F393+F384+F374+F365+F352+F340+F329+F321+F313+F305+F295+F286+F277+F260</f>
        <v>3066.8</v>
      </c>
      <c r="G579" s="667">
        <f t="shared" ref="G579:U579" si="277">G572+G563+G555+G546+G537+G527+G517+G507+G498+G489+G480+G470+G460+G451+G441+G431+G421+G411+G402+G393+G384+G374+G365+G352+G340+G329+G321+G313+G305+G295+G286+G277+G260</f>
        <v>1352.9999999999998</v>
      </c>
      <c r="H579" s="667">
        <f t="shared" si="277"/>
        <v>1352.9999999999998</v>
      </c>
      <c r="I579" s="667">
        <f t="shared" si="277"/>
        <v>2706</v>
      </c>
      <c r="J579" s="667">
        <f>J572+J563+J555+J546+J537+J527+J517+J507+J498+J489+J480+J470+J460+J451+J441+J431+J421+J411+J402+J393+J384+J374+J365+J352+J340+J329+J321+J313+J305+J295+J286+J277+J260</f>
        <v>1353</v>
      </c>
      <c r="K579" s="667">
        <f t="shared" si="277"/>
        <v>1352.9999999999998</v>
      </c>
      <c r="L579" s="667">
        <f t="shared" si="277"/>
        <v>2706</v>
      </c>
      <c r="M579" s="667">
        <f t="shared" si="277"/>
        <v>1353</v>
      </c>
      <c r="N579" s="667">
        <f t="shared" si="277"/>
        <v>1353</v>
      </c>
      <c r="O579" s="667">
        <f t="shared" si="277"/>
        <v>1353</v>
      </c>
      <c r="P579" s="667">
        <f t="shared" si="277"/>
        <v>360.79999999999995</v>
      </c>
      <c r="Q579" s="667">
        <f>Q572+Q563+Q555+Q546+Q537+Q527+Q517+Q507+Q498+Q489+Q480+Q470+Q460+Q451+Q441+Q431+Q421+Q411+Q402+Q393+Q384+Q374+Q365+Q352+Q340+Q329+Q321+Q313+Q305+Q295+Q286+Q277+Q260</f>
        <v>4058.9999999999995</v>
      </c>
      <c r="R579" s="667">
        <f t="shared" si="277"/>
        <v>4058.9999999999995</v>
      </c>
      <c r="S579" s="667">
        <f t="shared" si="277"/>
        <v>0</v>
      </c>
      <c r="T579" s="667">
        <f t="shared" si="277"/>
        <v>0</v>
      </c>
      <c r="U579" s="667">
        <f t="shared" si="277"/>
        <v>0</v>
      </c>
      <c r="W579" s="297"/>
      <c r="X579" s="297"/>
    </row>
    <row r="580" spans="1:24" s="284" customFormat="1" ht="16.5" customHeight="1">
      <c r="A580" s="769"/>
      <c r="B580" s="656"/>
      <c r="C580" s="404"/>
      <c r="D580" s="641"/>
      <c r="E580" s="405"/>
      <c r="F580" s="690"/>
      <c r="G580" s="679"/>
      <c r="H580" s="679"/>
      <c r="I580" s="679"/>
      <c r="J580" s="679"/>
      <c r="K580" s="679"/>
      <c r="L580" s="679"/>
      <c r="M580" s="679"/>
      <c r="N580" s="679"/>
      <c r="O580" s="679"/>
      <c r="P580" s="679"/>
      <c r="Q580" s="679"/>
      <c r="R580" s="679"/>
      <c r="S580" s="442"/>
      <c r="T580" s="442"/>
      <c r="U580" s="454"/>
      <c r="V580" s="766"/>
      <c r="W580" s="406"/>
      <c r="X580" s="406"/>
    </row>
    <row r="581" spans="1:24" s="302" customFormat="1" ht="16.5" customHeight="1">
      <c r="A581" s="298"/>
      <c r="B581" s="600"/>
      <c r="C581" s="299"/>
      <c r="D581" s="300"/>
      <c r="E581" s="301"/>
      <c r="F581" s="653">
        <f>F577-F579</f>
        <v>0</v>
      </c>
      <c r="G581" s="653">
        <f t="shared" ref="G581:U581" si="278">G577-G579</f>
        <v>0</v>
      </c>
      <c r="H581" s="653">
        <f t="shared" si="278"/>
        <v>0</v>
      </c>
      <c r="I581" s="653">
        <f t="shared" si="278"/>
        <v>0</v>
      </c>
      <c r="J581" s="653">
        <f t="shared" si="278"/>
        <v>0</v>
      </c>
      <c r="K581" s="653">
        <f>K577-K579</f>
        <v>0</v>
      </c>
      <c r="L581" s="653">
        <f t="shared" si="278"/>
        <v>0</v>
      </c>
      <c r="M581" s="653">
        <f>M577-M579</f>
        <v>0</v>
      </c>
      <c r="N581" s="653">
        <f t="shared" si="278"/>
        <v>0</v>
      </c>
      <c r="O581" s="653">
        <f t="shared" si="278"/>
        <v>0</v>
      </c>
      <c r="P581" s="653">
        <f t="shared" si="278"/>
        <v>0</v>
      </c>
      <c r="Q581" s="653">
        <f t="shared" si="278"/>
        <v>0</v>
      </c>
      <c r="R581" s="653">
        <f t="shared" si="278"/>
        <v>0</v>
      </c>
      <c r="S581" s="653">
        <f t="shared" si="278"/>
        <v>0</v>
      </c>
      <c r="T581" s="653">
        <f t="shared" si="278"/>
        <v>0</v>
      </c>
      <c r="U581" s="653">
        <f t="shared" si="278"/>
        <v>0</v>
      </c>
      <c r="W581" s="303"/>
      <c r="X581" s="303"/>
    </row>
    <row r="582" spans="1:24" s="59" customFormat="1" ht="15.75">
      <c r="A582" s="769"/>
      <c r="B582" s="656"/>
      <c r="C582" s="404"/>
      <c r="D582" s="641"/>
      <c r="E582" s="405"/>
      <c r="F582" s="690"/>
      <c r="G582" s="679"/>
      <c r="H582" s="679"/>
      <c r="I582" s="679"/>
      <c r="J582" s="679"/>
      <c r="K582" s="679"/>
      <c r="L582" s="679"/>
      <c r="M582" s="679"/>
      <c r="N582" s="679"/>
      <c r="O582" s="679"/>
      <c r="P582" s="679"/>
      <c r="Q582" s="679"/>
      <c r="R582" s="679"/>
      <c r="S582" s="442"/>
      <c r="T582" s="442"/>
      <c r="U582" s="454"/>
      <c r="V582" s="766"/>
      <c r="W582" s="766"/>
      <c r="X582" s="766"/>
    </row>
    <row r="583" spans="1:24" s="270" customFormat="1" ht="15.75">
      <c r="A583" s="413" t="s">
        <v>573</v>
      </c>
      <c r="B583" s="619" t="s">
        <v>12</v>
      </c>
      <c r="C583" s="269">
        <v>0.35</v>
      </c>
      <c r="D583" s="414"/>
      <c r="E583" s="415"/>
      <c r="F583" s="665">
        <f>0.35*F12</f>
        <v>2618</v>
      </c>
      <c r="G583" s="665">
        <f t="shared" ref="G583:R583" si="279">0.35*G12</f>
        <v>1155</v>
      </c>
      <c r="H583" s="665">
        <f t="shared" si="279"/>
        <v>1155</v>
      </c>
      <c r="I583" s="665">
        <f t="shared" si="279"/>
        <v>2310</v>
      </c>
      <c r="J583" s="665">
        <f t="shared" si="279"/>
        <v>1155</v>
      </c>
      <c r="K583" s="665">
        <f t="shared" si="279"/>
        <v>1155</v>
      </c>
      <c r="L583" s="665">
        <f t="shared" si="279"/>
        <v>2310</v>
      </c>
      <c r="M583" s="665">
        <f t="shared" si="279"/>
        <v>1155</v>
      </c>
      <c r="N583" s="665">
        <f t="shared" si="279"/>
        <v>1155</v>
      </c>
      <c r="O583" s="665">
        <f t="shared" si="279"/>
        <v>1155</v>
      </c>
      <c r="P583" s="665">
        <f t="shared" si="279"/>
        <v>308</v>
      </c>
      <c r="Q583" s="665">
        <f t="shared" si="279"/>
        <v>3465</v>
      </c>
      <c r="R583" s="665">
        <f t="shared" si="279"/>
        <v>3465</v>
      </c>
      <c r="S583" s="379"/>
      <c r="T583" s="379"/>
      <c r="U583" s="380"/>
      <c r="V583" s="378"/>
      <c r="W583" s="378"/>
      <c r="X583" s="378"/>
    </row>
    <row r="584" spans="1:24" s="59" customFormat="1" ht="15.75">
      <c r="A584" s="769"/>
      <c r="B584" s="618"/>
      <c r="C584" s="404"/>
      <c r="D584" s="641"/>
      <c r="E584" s="405"/>
      <c r="F584" s="690"/>
      <c r="G584" s="679"/>
      <c r="H584" s="679"/>
      <c r="I584" s="679"/>
      <c r="J584" s="679"/>
      <c r="K584" s="679"/>
      <c r="L584" s="679"/>
      <c r="M584" s="679"/>
      <c r="N584" s="679"/>
      <c r="O584" s="679"/>
      <c r="P584" s="679"/>
      <c r="Q584" s="679"/>
      <c r="R584" s="679"/>
      <c r="S584" s="442"/>
      <c r="T584" s="442"/>
      <c r="U584" s="454"/>
      <c r="V584" s="766"/>
      <c r="W584" s="766"/>
      <c r="X584" s="766"/>
    </row>
    <row r="585" spans="1:24" s="288" customFormat="1" ht="15.75">
      <c r="A585" s="417" t="s">
        <v>574</v>
      </c>
      <c r="B585" s="599" t="s">
        <v>575</v>
      </c>
      <c r="C585" s="427"/>
      <c r="D585" s="398"/>
      <c r="E585" s="399"/>
      <c r="F585" s="669">
        <f>TRUNC(0.15*F$583)</f>
        <v>392</v>
      </c>
      <c r="G585" s="669">
        <f t="shared" ref="G585:R585" si="280">TRUNC(0.15*G$583)</f>
        <v>173</v>
      </c>
      <c r="H585" s="669">
        <f t="shared" si="280"/>
        <v>173</v>
      </c>
      <c r="I585" s="669">
        <f t="shared" si="280"/>
        <v>346</v>
      </c>
      <c r="J585" s="669">
        <f t="shared" si="280"/>
        <v>173</v>
      </c>
      <c r="K585" s="669">
        <f t="shared" si="280"/>
        <v>173</v>
      </c>
      <c r="L585" s="669">
        <f t="shared" si="280"/>
        <v>346</v>
      </c>
      <c r="M585" s="669">
        <f t="shared" si="280"/>
        <v>173</v>
      </c>
      <c r="N585" s="669">
        <f t="shared" si="280"/>
        <v>173</v>
      </c>
      <c r="O585" s="669">
        <f t="shared" si="280"/>
        <v>173</v>
      </c>
      <c r="P585" s="669">
        <f t="shared" si="280"/>
        <v>46</v>
      </c>
      <c r="Q585" s="669">
        <f t="shared" si="280"/>
        <v>519</v>
      </c>
      <c r="R585" s="669">
        <f t="shared" si="280"/>
        <v>519</v>
      </c>
      <c r="S585" s="400"/>
      <c r="T585" s="400"/>
      <c r="U585" s="328"/>
      <c r="V585" s="401"/>
      <c r="W585" s="401"/>
      <c r="X585" s="401"/>
    </row>
    <row r="586" spans="1:24" s="59" customFormat="1" ht="15.75">
      <c r="A586" s="769" t="s">
        <v>576</v>
      </c>
      <c r="B586" s="656" t="s">
        <v>302</v>
      </c>
      <c r="C586" s="404"/>
      <c r="D586" s="641" t="s">
        <v>890</v>
      </c>
      <c r="E586" s="405"/>
      <c r="F586" s="591">
        <f>0.1*($F$585)</f>
        <v>39.200000000000003</v>
      </c>
      <c r="G586" s="591">
        <f>0.1*G585</f>
        <v>17.3</v>
      </c>
      <c r="H586" s="591">
        <f t="shared" ref="H586:R586" si="281">0.1*H585</f>
        <v>17.3</v>
      </c>
      <c r="I586" s="591">
        <f t="shared" si="281"/>
        <v>34.6</v>
      </c>
      <c r="J586" s="591">
        <f t="shared" si="281"/>
        <v>17.3</v>
      </c>
      <c r="K586" s="591">
        <f t="shared" si="281"/>
        <v>17.3</v>
      </c>
      <c r="L586" s="591">
        <f t="shared" si="281"/>
        <v>34.6</v>
      </c>
      <c r="M586" s="591">
        <f t="shared" si="281"/>
        <v>17.3</v>
      </c>
      <c r="N586" s="591">
        <f t="shared" si="281"/>
        <v>17.3</v>
      </c>
      <c r="O586" s="591">
        <f t="shared" si="281"/>
        <v>17.3</v>
      </c>
      <c r="P586" s="591">
        <f t="shared" si="281"/>
        <v>4.6000000000000005</v>
      </c>
      <c r="Q586" s="591">
        <f t="shared" si="281"/>
        <v>51.900000000000006</v>
      </c>
      <c r="R586" s="591">
        <f t="shared" si="281"/>
        <v>51.900000000000006</v>
      </c>
      <c r="S586" s="690"/>
      <c r="T586" s="690"/>
      <c r="U586" s="690"/>
      <c r="V586" s="766"/>
      <c r="W586" s="766"/>
      <c r="X586" s="766"/>
    </row>
    <row r="587" spans="1:24" s="626" customFormat="1" ht="31.5">
      <c r="A587" s="657" t="s">
        <v>577</v>
      </c>
      <c r="B587" s="658" t="s">
        <v>578</v>
      </c>
      <c r="C587" s="630"/>
      <c r="D587" s="629" t="s">
        <v>890</v>
      </c>
      <c r="E587" s="628"/>
      <c r="F587" s="591">
        <f>0.4*$F$585</f>
        <v>156.80000000000001</v>
      </c>
      <c r="G587" s="591">
        <f>0.4*G585</f>
        <v>69.2</v>
      </c>
      <c r="H587" s="591">
        <f t="shared" ref="H587:R587" si="282">0.4*H585</f>
        <v>69.2</v>
      </c>
      <c r="I587" s="591">
        <f t="shared" si="282"/>
        <v>138.4</v>
      </c>
      <c r="J587" s="591">
        <f t="shared" si="282"/>
        <v>69.2</v>
      </c>
      <c r="K587" s="591">
        <f t="shared" si="282"/>
        <v>69.2</v>
      </c>
      <c r="L587" s="591">
        <f t="shared" si="282"/>
        <v>138.4</v>
      </c>
      <c r="M587" s="591">
        <f t="shared" si="282"/>
        <v>69.2</v>
      </c>
      <c r="N587" s="591">
        <f t="shared" si="282"/>
        <v>69.2</v>
      </c>
      <c r="O587" s="591">
        <f t="shared" si="282"/>
        <v>69.2</v>
      </c>
      <c r="P587" s="591">
        <f t="shared" si="282"/>
        <v>18.400000000000002</v>
      </c>
      <c r="Q587" s="591">
        <f t="shared" si="282"/>
        <v>207.60000000000002</v>
      </c>
      <c r="R587" s="591">
        <f t="shared" si="282"/>
        <v>207.60000000000002</v>
      </c>
      <c r="S587" s="591"/>
      <c r="T587" s="591"/>
      <c r="U587" s="591"/>
    </row>
    <row r="588" spans="1:24" s="59" customFormat="1" ht="15.75">
      <c r="A588" s="769" t="s">
        <v>579</v>
      </c>
      <c r="B588" s="656" t="s">
        <v>304</v>
      </c>
      <c r="C588" s="404"/>
      <c r="D588" s="641" t="s">
        <v>890</v>
      </c>
      <c r="E588" s="405"/>
      <c r="F588" s="690">
        <f>0.1*$F$585</f>
        <v>39.200000000000003</v>
      </c>
      <c r="G588" s="690">
        <f>0.1*G585</f>
        <v>17.3</v>
      </c>
      <c r="H588" s="690">
        <f t="shared" ref="H588:R588" si="283">0.1*H585</f>
        <v>17.3</v>
      </c>
      <c r="I588" s="690">
        <f t="shared" si="283"/>
        <v>34.6</v>
      </c>
      <c r="J588" s="690">
        <f t="shared" si="283"/>
        <v>17.3</v>
      </c>
      <c r="K588" s="690">
        <f t="shared" si="283"/>
        <v>17.3</v>
      </c>
      <c r="L588" s="690">
        <f>0.1*L585</f>
        <v>34.6</v>
      </c>
      <c r="M588" s="690">
        <f t="shared" si="283"/>
        <v>17.3</v>
      </c>
      <c r="N588" s="690">
        <f t="shared" si="283"/>
        <v>17.3</v>
      </c>
      <c r="O588" s="690">
        <f t="shared" si="283"/>
        <v>17.3</v>
      </c>
      <c r="P588" s="690">
        <f t="shared" si="283"/>
        <v>4.6000000000000005</v>
      </c>
      <c r="Q588" s="690">
        <f t="shared" si="283"/>
        <v>51.900000000000006</v>
      </c>
      <c r="R588" s="690">
        <f t="shared" si="283"/>
        <v>51.900000000000006</v>
      </c>
      <c r="S588" s="690"/>
      <c r="T588" s="690"/>
      <c r="U588" s="690"/>
      <c r="V588" s="766"/>
      <c r="W588" s="766"/>
      <c r="X588" s="766"/>
    </row>
    <row r="589" spans="1:24" s="59" customFormat="1" ht="15.75">
      <c r="A589" s="769" t="s">
        <v>580</v>
      </c>
      <c r="B589" s="656" t="s">
        <v>306</v>
      </c>
      <c r="C589" s="404"/>
      <c r="D589" s="641" t="s">
        <v>890</v>
      </c>
      <c r="E589" s="405"/>
      <c r="F589" s="690">
        <f>0.1*$F$585</f>
        <v>39.200000000000003</v>
      </c>
      <c r="G589" s="690">
        <f>0.1*G585</f>
        <v>17.3</v>
      </c>
      <c r="H589" s="690">
        <f t="shared" ref="H589:R589" si="284">0.1*H585</f>
        <v>17.3</v>
      </c>
      <c r="I589" s="690">
        <f t="shared" si="284"/>
        <v>34.6</v>
      </c>
      <c r="J589" s="690">
        <f t="shared" si="284"/>
        <v>17.3</v>
      </c>
      <c r="K589" s="690">
        <f t="shared" si="284"/>
        <v>17.3</v>
      </c>
      <c r="L589" s="690">
        <f t="shared" si="284"/>
        <v>34.6</v>
      </c>
      <c r="M589" s="690">
        <f t="shared" si="284"/>
        <v>17.3</v>
      </c>
      <c r="N589" s="690">
        <f t="shared" si="284"/>
        <v>17.3</v>
      </c>
      <c r="O589" s="690">
        <f t="shared" si="284"/>
        <v>17.3</v>
      </c>
      <c r="P589" s="690">
        <f t="shared" si="284"/>
        <v>4.6000000000000005</v>
      </c>
      <c r="Q589" s="690">
        <f t="shared" si="284"/>
        <v>51.900000000000006</v>
      </c>
      <c r="R589" s="690">
        <f t="shared" si="284"/>
        <v>51.900000000000006</v>
      </c>
      <c r="S589" s="690"/>
      <c r="T589" s="690"/>
      <c r="U589" s="690"/>
      <c r="V589" s="766"/>
      <c r="W589" s="766"/>
      <c r="X589" s="766"/>
    </row>
    <row r="590" spans="1:24" s="59" customFormat="1" ht="15.75">
      <c r="A590" s="769" t="s">
        <v>581</v>
      </c>
      <c r="B590" s="656" t="s">
        <v>308</v>
      </c>
      <c r="C590" s="404"/>
      <c r="D590" s="641" t="s">
        <v>890</v>
      </c>
      <c r="E590" s="405"/>
      <c r="F590" s="690">
        <f>0.05*$F$585</f>
        <v>19.600000000000001</v>
      </c>
      <c r="G590" s="690">
        <f>0.05*G585</f>
        <v>8.65</v>
      </c>
      <c r="H590" s="690">
        <f t="shared" ref="H590:R590" si="285">0.05*H585</f>
        <v>8.65</v>
      </c>
      <c r="I590" s="690">
        <f t="shared" si="285"/>
        <v>17.3</v>
      </c>
      <c r="J590" s="690">
        <f t="shared" si="285"/>
        <v>8.65</v>
      </c>
      <c r="K590" s="690">
        <f t="shared" si="285"/>
        <v>8.65</v>
      </c>
      <c r="L590" s="690">
        <f t="shared" si="285"/>
        <v>17.3</v>
      </c>
      <c r="M590" s="690">
        <f t="shared" si="285"/>
        <v>8.65</v>
      </c>
      <c r="N590" s="690">
        <f t="shared" si="285"/>
        <v>8.65</v>
      </c>
      <c r="O590" s="690">
        <f t="shared" si="285"/>
        <v>8.65</v>
      </c>
      <c r="P590" s="690">
        <f t="shared" si="285"/>
        <v>2.3000000000000003</v>
      </c>
      <c r="Q590" s="690">
        <f t="shared" si="285"/>
        <v>25.950000000000003</v>
      </c>
      <c r="R590" s="690">
        <f t="shared" si="285"/>
        <v>25.950000000000003</v>
      </c>
      <c r="S590" s="690"/>
      <c r="T590" s="690"/>
      <c r="U590" s="690"/>
      <c r="V590" s="766"/>
      <c r="W590" s="766"/>
      <c r="X590" s="766"/>
    </row>
    <row r="591" spans="1:24" s="59" customFormat="1" ht="15.75">
      <c r="A591" s="769" t="s">
        <v>582</v>
      </c>
      <c r="B591" s="656" t="s">
        <v>310</v>
      </c>
      <c r="C591" s="404"/>
      <c r="D591" s="641" t="s">
        <v>890</v>
      </c>
      <c r="E591" s="405"/>
      <c r="F591" s="690">
        <f>0.05*$F$585</f>
        <v>19.600000000000001</v>
      </c>
      <c r="G591" s="690">
        <f>0.05*G585</f>
        <v>8.65</v>
      </c>
      <c r="H591" s="690">
        <f t="shared" ref="H591:R591" si="286">0.05*H585</f>
        <v>8.65</v>
      </c>
      <c r="I591" s="690">
        <f t="shared" si="286"/>
        <v>17.3</v>
      </c>
      <c r="J591" s="690">
        <f t="shared" si="286"/>
        <v>8.65</v>
      </c>
      <c r="K591" s="690">
        <f t="shared" si="286"/>
        <v>8.65</v>
      </c>
      <c r="L591" s="690">
        <f t="shared" si="286"/>
        <v>17.3</v>
      </c>
      <c r="M591" s="690">
        <f t="shared" si="286"/>
        <v>8.65</v>
      </c>
      <c r="N591" s="690">
        <f t="shared" si="286"/>
        <v>8.65</v>
      </c>
      <c r="O591" s="690">
        <f t="shared" si="286"/>
        <v>8.65</v>
      </c>
      <c r="P591" s="690">
        <f t="shared" si="286"/>
        <v>2.3000000000000003</v>
      </c>
      <c r="Q591" s="690">
        <f t="shared" si="286"/>
        <v>25.950000000000003</v>
      </c>
      <c r="R591" s="690">
        <f t="shared" si="286"/>
        <v>25.950000000000003</v>
      </c>
      <c r="S591" s="690"/>
      <c r="T591" s="690"/>
      <c r="U591" s="690"/>
      <c r="V591" s="766"/>
      <c r="W591" s="766"/>
      <c r="X591" s="766"/>
    </row>
    <row r="592" spans="1:24" s="626" customFormat="1" ht="31.5">
      <c r="A592" s="657" t="s">
        <v>583</v>
      </c>
      <c r="B592" s="658" t="s">
        <v>584</v>
      </c>
      <c r="C592" s="630"/>
      <c r="D592" s="629" t="s">
        <v>890</v>
      </c>
      <c r="E592" s="628"/>
      <c r="F592" s="690">
        <f>0.1*$F$585</f>
        <v>39.200000000000003</v>
      </c>
      <c r="G592" s="690">
        <f>0.1*G585</f>
        <v>17.3</v>
      </c>
      <c r="H592" s="690">
        <f t="shared" ref="H592:R592" si="287">0.1*H585</f>
        <v>17.3</v>
      </c>
      <c r="I592" s="690">
        <f t="shared" si="287"/>
        <v>34.6</v>
      </c>
      <c r="J592" s="690">
        <f t="shared" si="287"/>
        <v>17.3</v>
      </c>
      <c r="K592" s="690">
        <f t="shared" si="287"/>
        <v>17.3</v>
      </c>
      <c r="L592" s="690">
        <f t="shared" si="287"/>
        <v>34.6</v>
      </c>
      <c r="M592" s="690">
        <f t="shared" si="287"/>
        <v>17.3</v>
      </c>
      <c r="N592" s="690">
        <f t="shared" si="287"/>
        <v>17.3</v>
      </c>
      <c r="O592" s="690">
        <f t="shared" si="287"/>
        <v>17.3</v>
      </c>
      <c r="P592" s="690">
        <f t="shared" si="287"/>
        <v>4.6000000000000005</v>
      </c>
      <c r="Q592" s="690">
        <f t="shared" si="287"/>
        <v>51.900000000000006</v>
      </c>
      <c r="R592" s="690">
        <f t="shared" si="287"/>
        <v>51.900000000000006</v>
      </c>
      <c r="S592" s="591"/>
      <c r="T592" s="591"/>
      <c r="U592" s="591"/>
    </row>
    <row r="593" spans="1:21" s="387" customFormat="1" ht="15.75">
      <c r="A593" s="769" t="s">
        <v>585</v>
      </c>
      <c r="B593" s="656" t="s">
        <v>314</v>
      </c>
      <c r="C593" s="404"/>
      <c r="D593" s="641" t="s">
        <v>890</v>
      </c>
      <c r="E593" s="405"/>
      <c r="F593" s="690">
        <f>0.1*$F$585</f>
        <v>39.200000000000003</v>
      </c>
      <c r="G593" s="690">
        <f>0.1*G585</f>
        <v>17.3</v>
      </c>
      <c r="H593" s="690">
        <f t="shared" ref="H593:R593" si="288">0.1*H585</f>
        <v>17.3</v>
      </c>
      <c r="I593" s="690">
        <f t="shared" si="288"/>
        <v>34.6</v>
      </c>
      <c r="J593" s="690">
        <f>0.1*J585</f>
        <v>17.3</v>
      </c>
      <c r="K593" s="690">
        <f t="shared" si="288"/>
        <v>17.3</v>
      </c>
      <c r="L593" s="690">
        <f t="shared" si="288"/>
        <v>34.6</v>
      </c>
      <c r="M593" s="690">
        <f t="shared" si="288"/>
        <v>17.3</v>
      </c>
      <c r="N593" s="690">
        <f t="shared" si="288"/>
        <v>17.3</v>
      </c>
      <c r="O593" s="690">
        <f t="shared" si="288"/>
        <v>17.3</v>
      </c>
      <c r="P593" s="690">
        <f t="shared" si="288"/>
        <v>4.6000000000000005</v>
      </c>
      <c r="Q593" s="690">
        <f t="shared" si="288"/>
        <v>51.900000000000006</v>
      </c>
      <c r="R593" s="690">
        <f t="shared" si="288"/>
        <v>51.900000000000006</v>
      </c>
      <c r="S593" s="690"/>
      <c r="T593" s="690"/>
      <c r="U593" s="690"/>
    </row>
    <row r="594" spans="1:21" s="240" customFormat="1" ht="15.75">
      <c r="A594" s="365"/>
      <c r="B594" s="616"/>
      <c r="C594" s="320"/>
      <c r="D594" s="238"/>
      <c r="E594" s="239"/>
      <c r="F594" s="664">
        <f t="shared" ref="F594:U594" si="289">F585-SUM(F586:F593)</f>
        <v>0</v>
      </c>
      <c r="G594" s="664">
        <f t="shared" si="289"/>
        <v>0</v>
      </c>
      <c r="H594" s="664">
        <f t="shared" si="289"/>
        <v>0</v>
      </c>
      <c r="I594" s="664">
        <f t="shared" si="289"/>
        <v>0</v>
      </c>
      <c r="J594" s="664">
        <f t="shared" si="289"/>
        <v>0</v>
      </c>
      <c r="K594" s="664">
        <f t="shared" si="289"/>
        <v>0</v>
      </c>
      <c r="L594" s="664">
        <f t="shared" si="289"/>
        <v>0</v>
      </c>
      <c r="M594" s="664">
        <f t="shared" si="289"/>
        <v>0</v>
      </c>
      <c r="N594" s="664">
        <f t="shared" si="289"/>
        <v>0</v>
      </c>
      <c r="O594" s="664">
        <f t="shared" si="289"/>
        <v>0</v>
      </c>
      <c r="P594" s="664">
        <f t="shared" si="289"/>
        <v>0</v>
      </c>
      <c r="Q594" s="664">
        <f t="shared" si="289"/>
        <v>0</v>
      </c>
      <c r="R594" s="664">
        <f t="shared" si="289"/>
        <v>0</v>
      </c>
      <c r="S594" s="664">
        <f t="shared" si="289"/>
        <v>0</v>
      </c>
      <c r="T594" s="664">
        <f t="shared" si="289"/>
        <v>0</v>
      </c>
      <c r="U594" s="664">
        <f t="shared" si="289"/>
        <v>0</v>
      </c>
    </row>
    <row r="595" spans="1:21" s="59" customFormat="1" ht="15.75">
      <c r="A595" s="769"/>
      <c r="B595" s="618"/>
      <c r="C595" s="404"/>
      <c r="D595" s="641"/>
      <c r="E595" s="405"/>
      <c r="F595" s="690"/>
      <c r="G595" s="679"/>
      <c r="H595" s="679"/>
      <c r="I595" s="679"/>
      <c r="J595" s="679"/>
      <c r="K595" s="679"/>
      <c r="L595" s="679"/>
      <c r="M595" s="679"/>
      <c r="N595" s="679"/>
      <c r="O595" s="679"/>
      <c r="P595" s="679"/>
      <c r="Q595" s="679"/>
      <c r="R595" s="679"/>
      <c r="S595" s="442"/>
      <c r="T595" s="442"/>
      <c r="U595" s="454"/>
    </row>
    <row r="596" spans="1:21" s="288" customFormat="1" ht="15.75">
      <c r="A596" s="417" t="s">
        <v>587</v>
      </c>
      <c r="B596" s="599" t="s">
        <v>588</v>
      </c>
      <c r="C596" s="427"/>
      <c r="D596" s="398"/>
      <c r="E596" s="399"/>
      <c r="F596" s="669"/>
      <c r="G596" s="654"/>
      <c r="H596" s="654"/>
      <c r="I596" s="654"/>
      <c r="J596" s="654"/>
      <c r="K596" s="654"/>
      <c r="L596" s="654"/>
      <c r="M596" s="654"/>
      <c r="N596" s="654"/>
      <c r="O596" s="654"/>
      <c r="P596" s="654"/>
      <c r="Q596" s="654"/>
      <c r="R596" s="654"/>
      <c r="S596" s="400"/>
      <c r="T596" s="400"/>
      <c r="U596" s="328"/>
    </row>
    <row r="597" spans="1:21" s="59" customFormat="1" ht="15.75">
      <c r="A597" s="769"/>
      <c r="B597" s="618"/>
      <c r="C597" s="404"/>
      <c r="D597" s="641"/>
      <c r="E597" s="405"/>
      <c r="F597" s="690"/>
      <c r="G597" s="679"/>
      <c r="H597" s="679"/>
      <c r="I597" s="679"/>
      <c r="J597" s="679"/>
      <c r="K597" s="679"/>
      <c r="L597" s="679"/>
      <c r="M597" s="679"/>
      <c r="N597" s="679"/>
      <c r="O597" s="679"/>
      <c r="P597" s="679"/>
      <c r="Q597" s="679"/>
      <c r="R597" s="679"/>
      <c r="S597" s="442"/>
      <c r="T597" s="442"/>
      <c r="U597" s="454"/>
    </row>
    <row r="598" spans="1:21" s="288" customFormat="1" ht="15.75">
      <c r="A598" s="417" t="s">
        <v>589</v>
      </c>
      <c r="B598" s="693" t="s">
        <v>97</v>
      </c>
      <c r="C598" s="427"/>
      <c r="D598" s="398"/>
      <c r="E598" s="399"/>
      <c r="F598" s="668">
        <f>TRUNC(0.02*F$583)</f>
        <v>52</v>
      </c>
      <c r="G598" s="668">
        <f>TRUNC(0.02*G$583)</f>
        <v>23</v>
      </c>
      <c r="H598" s="668">
        <f>TRUNC(0.01*H$583)</f>
        <v>11</v>
      </c>
      <c r="I598" s="668">
        <f>TRUNC(0.4*I$583)</f>
        <v>924</v>
      </c>
      <c r="J598" s="668">
        <f>TRUNC(0.45*J$583)</f>
        <v>519</v>
      </c>
      <c r="K598" s="668">
        <f>TRUNC(0.01*K$583)</f>
        <v>11</v>
      </c>
      <c r="L598" s="668">
        <f>TRUNC(0.01*L583)</f>
        <v>23</v>
      </c>
      <c r="M598" s="668">
        <f>TRUNC(0.01*M583)</f>
        <v>11</v>
      </c>
      <c r="N598" s="668">
        <f>TRUNC(0.01*N583)</f>
        <v>11</v>
      </c>
      <c r="O598" s="668">
        <f>TRUNC(0.01*O583)</f>
        <v>11</v>
      </c>
      <c r="P598" s="668"/>
      <c r="Q598" s="668">
        <f>TRUNC(0.2132*Q583)</f>
        <v>738</v>
      </c>
      <c r="R598" s="668">
        <f>TRUNC(0.2092*R583)</f>
        <v>724</v>
      </c>
      <c r="S598" s="400">
        <v>0</v>
      </c>
      <c r="T598" s="400">
        <v>0</v>
      </c>
      <c r="U598" s="328">
        <v>0</v>
      </c>
    </row>
    <row r="599" spans="1:21" s="59" customFormat="1" ht="15.75">
      <c r="A599" s="769" t="s">
        <v>590</v>
      </c>
      <c r="B599" s="658" t="s">
        <v>326</v>
      </c>
      <c r="C599" s="404"/>
      <c r="D599" s="641" t="s">
        <v>890</v>
      </c>
      <c r="E599" s="405"/>
      <c r="F599" s="692">
        <f>0.2*F598</f>
        <v>10.4</v>
      </c>
      <c r="G599" s="692">
        <f t="shared" ref="G599:R599" si="290">0.2*G598</f>
        <v>4.6000000000000005</v>
      </c>
      <c r="H599" s="692">
        <f t="shared" si="290"/>
        <v>2.2000000000000002</v>
      </c>
      <c r="I599" s="692">
        <f t="shared" si="290"/>
        <v>184.8</v>
      </c>
      <c r="J599" s="692">
        <f t="shared" si="290"/>
        <v>103.80000000000001</v>
      </c>
      <c r="K599" s="692">
        <f t="shared" si="290"/>
        <v>2.2000000000000002</v>
      </c>
      <c r="L599" s="692">
        <f t="shared" si="290"/>
        <v>4.6000000000000005</v>
      </c>
      <c r="M599" s="692">
        <f t="shared" si="290"/>
        <v>2.2000000000000002</v>
      </c>
      <c r="N599" s="692">
        <f t="shared" si="290"/>
        <v>2.2000000000000002</v>
      </c>
      <c r="O599" s="692">
        <f t="shared" si="290"/>
        <v>2.2000000000000002</v>
      </c>
      <c r="P599" s="692"/>
      <c r="Q599" s="692">
        <f t="shared" si="290"/>
        <v>147.6</v>
      </c>
      <c r="R599" s="692">
        <f t="shared" si="290"/>
        <v>144.80000000000001</v>
      </c>
      <c r="S599" s="689"/>
      <c r="T599" s="689"/>
      <c r="U599" s="454"/>
    </row>
    <row r="600" spans="1:21" s="59" customFormat="1" ht="15.75">
      <c r="A600" s="769" t="s">
        <v>591</v>
      </c>
      <c r="B600" s="656" t="s">
        <v>135</v>
      </c>
      <c r="C600" s="404"/>
      <c r="D600" s="641" t="s">
        <v>890</v>
      </c>
      <c r="E600" s="405"/>
      <c r="F600" s="692">
        <f>0.1*F598</f>
        <v>5.2</v>
      </c>
      <c r="G600" s="692">
        <f t="shared" ref="G600:R600" si="291">0.1*G598</f>
        <v>2.3000000000000003</v>
      </c>
      <c r="H600" s="692">
        <f t="shared" si="291"/>
        <v>1.1000000000000001</v>
      </c>
      <c r="I600" s="692">
        <f t="shared" si="291"/>
        <v>92.4</v>
      </c>
      <c r="J600" s="692">
        <f t="shared" si="291"/>
        <v>51.900000000000006</v>
      </c>
      <c r="K600" s="692">
        <f>0.1*K598</f>
        <v>1.1000000000000001</v>
      </c>
      <c r="L600" s="692">
        <f t="shared" si="291"/>
        <v>2.3000000000000003</v>
      </c>
      <c r="M600" s="692">
        <f t="shared" si="291"/>
        <v>1.1000000000000001</v>
      </c>
      <c r="N600" s="692">
        <f t="shared" si="291"/>
        <v>1.1000000000000001</v>
      </c>
      <c r="O600" s="692">
        <f t="shared" si="291"/>
        <v>1.1000000000000001</v>
      </c>
      <c r="P600" s="692"/>
      <c r="Q600" s="692">
        <f t="shared" si="291"/>
        <v>73.8</v>
      </c>
      <c r="R600" s="692">
        <f t="shared" si="291"/>
        <v>72.400000000000006</v>
      </c>
      <c r="S600" s="689"/>
      <c r="T600" s="689"/>
      <c r="U600" s="454"/>
    </row>
    <row r="601" spans="1:21" s="403" customFormat="1" ht="15.75">
      <c r="A601" s="769" t="s">
        <v>592</v>
      </c>
      <c r="B601" s="656" t="s">
        <v>103</v>
      </c>
      <c r="C601" s="404"/>
      <c r="D601" s="641" t="s">
        <v>890</v>
      </c>
      <c r="E601" s="405"/>
      <c r="F601" s="671">
        <f>0.2*F598</f>
        <v>10.4</v>
      </c>
      <c r="G601" s="671">
        <f t="shared" ref="G601:R601" si="292">0.2*G598</f>
        <v>4.6000000000000005</v>
      </c>
      <c r="H601" s="671">
        <f t="shared" si="292"/>
        <v>2.2000000000000002</v>
      </c>
      <c r="I601" s="671">
        <f t="shared" si="292"/>
        <v>184.8</v>
      </c>
      <c r="J601" s="671">
        <f t="shared" si="292"/>
        <v>103.80000000000001</v>
      </c>
      <c r="K601" s="671">
        <f>0.2*K598</f>
        <v>2.2000000000000002</v>
      </c>
      <c r="L601" s="671">
        <f t="shared" si="292"/>
        <v>4.6000000000000005</v>
      </c>
      <c r="M601" s="671">
        <f t="shared" si="292"/>
        <v>2.2000000000000002</v>
      </c>
      <c r="N601" s="671">
        <f t="shared" si="292"/>
        <v>2.2000000000000002</v>
      </c>
      <c r="O601" s="671">
        <f t="shared" si="292"/>
        <v>2.2000000000000002</v>
      </c>
      <c r="P601" s="671"/>
      <c r="Q601" s="671">
        <f t="shared" si="292"/>
        <v>147.6</v>
      </c>
      <c r="R601" s="671">
        <f t="shared" si="292"/>
        <v>144.80000000000001</v>
      </c>
      <c r="S601" s="689"/>
      <c r="T601" s="689"/>
      <c r="U601" s="454"/>
    </row>
    <row r="602" spans="1:21" s="59" customFormat="1" ht="15.75">
      <c r="A602" s="769" t="s">
        <v>593</v>
      </c>
      <c r="B602" s="656" t="s">
        <v>105</v>
      </c>
      <c r="C602" s="404"/>
      <c r="D602" s="641" t="s">
        <v>890</v>
      </c>
      <c r="E602" s="405"/>
      <c r="F602" s="692">
        <f>0.2*F598</f>
        <v>10.4</v>
      </c>
      <c r="G602" s="692">
        <f t="shared" ref="G602:O602" si="293">0.2*G598</f>
        <v>4.6000000000000005</v>
      </c>
      <c r="H602" s="692">
        <f t="shared" si="293"/>
        <v>2.2000000000000002</v>
      </c>
      <c r="I602" s="692">
        <f t="shared" si="293"/>
        <v>184.8</v>
      </c>
      <c r="J602" s="692">
        <f t="shared" si="293"/>
        <v>103.80000000000001</v>
      </c>
      <c r="K602" s="692">
        <f t="shared" si="293"/>
        <v>2.2000000000000002</v>
      </c>
      <c r="L602" s="692">
        <f t="shared" si="293"/>
        <v>4.6000000000000005</v>
      </c>
      <c r="M602" s="692">
        <f t="shared" si="293"/>
        <v>2.2000000000000002</v>
      </c>
      <c r="N602" s="692">
        <f t="shared" si="293"/>
        <v>2.2000000000000002</v>
      </c>
      <c r="O602" s="692">
        <f t="shared" si="293"/>
        <v>2.2000000000000002</v>
      </c>
      <c r="P602" s="692"/>
      <c r="Q602" s="692">
        <f>0.1*Q598</f>
        <v>73.8</v>
      </c>
      <c r="R602" s="692">
        <f>0.1*R598</f>
        <v>72.400000000000006</v>
      </c>
      <c r="S602" s="689"/>
      <c r="T602" s="689"/>
      <c r="U602" s="454"/>
    </row>
    <row r="603" spans="1:21" s="59" customFormat="1" ht="15.75">
      <c r="A603" s="769" t="s">
        <v>594</v>
      </c>
      <c r="B603" s="656" t="s">
        <v>595</v>
      </c>
      <c r="C603" s="404"/>
      <c r="D603" s="641" t="s">
        <v>890</v>
      </c>
      <c r="E603" s="405"/>
      <c r="F603" s="692">
        <f>0.2*F598</f>
        <v>10.4</v>
      </c>
      <c r="G603" s="692">
        <f t="shared" ref="G603:R603" si="294">0.2*G598</f>
        <v>4.6000000000000005</v>
      </c>
      <c r="H603" s="692">
        <f t="shared" si="294"/>
        <v>2.2000000000000002</v>
      </c>
      <c r="I603" s="692">
        <f t="shared" si="294"/>
        <v>184.8</v>
      </c>
      <c r="J603" s="692">
        <f t="shared" si="294"/>
        <v>103.80000000000001</v>
      </c>
      <c r="K603" s="692">
        <f>0.2*K598</f>
        <v>2.2000000000000002</v>
      </c>
      <c r="L603" s="692">
        <f t="shared" si="294"/>
        <v>4.6000000000000005</v>
      </c>
      <c r="M603" s="692">
        <f t="shared" si="294"/>
        <v>2.2000000000000002</v>
      </c>
      <c r="N603" s="692">
        <f t="shared" si="294"/>
        <v>2.2000000000000002</v>
      </c>
      <c r="O603" s="692">
        <f t="shared" si="294"/>
        <v>2.2000000000000002</v>
      </c>
      <c r="P603" s="692"/>
      <c r="Q603" s="692">
        <f t="shared" si="294"/>
        <v>147.6</v>
      </c>
      <c r="R603" s="692">
        <f t="shared" si="294"/>
        <v>144.80000000000001</v>
      </c>
      <c r="S603" s="689"/>
      <c r="T603" s="689"/>
      <c r="U603" s="454"/>
    </row>
    <row r="604" spans="1:21" s="59" customFormat="1" ht="15.75">
      <c r="A604" s="769" t="s">
        <v>596</v>
      </c>
      <c r="B604" s="656" t="s">
        <v>597</v>
      </c>
      <c r="C604" s="404"/>
      <c r="D604" s="641" t="s">
        <v>890</v>
      </c>
      <c r="E604" s="405"/>
      <c r="F604" s="692"/>
      <c r="G604" s="692"/>
      <c r="H604" s="692"/>
      <c r="I604" s="692"/>
      <c r="J604" s="692"/>
      <c r="K604" s="692"/>
      <c r="L604" s="692"/>
      <c r="M604" s="692"/>
      <c r="N604" s="692"/>
      <c r="O604" s="692"/>
      <c r="P604" s="692"/>
      <c r="Q604" s="692">
        <f>0.1*Q598</f>
        <v>73.8</v>
      </c>
      <c r="R604" s="692">
        <f>0.1*R598</f>
        <v>72.400000000000006</v>
      </c>
      <c r="S604" s="689"/>
      <c r="T604" s="689"/>
      <c r="U604" s="454"/>
    </row>
    <row r="605" spans="1:21" s="59" customFormat="1" ht="15.75">
      <c r="A605" s="769" t="s">
        <v>598</v>
      </c>
      <c r="B605" s="656" t="s">
        <v>150</v>
      </c>
      <c r="C605" s="404"/>
      <c r="D605" s="641" t="s">
        <v>890</v>
      </c>
      <c r="E605" s="405"/>
      <c r="F605" s="692">
        <f>0.1*F598</f>
        <v>5.2</v>
      </c>
      <c r="G605" s="692">
        <f t="shared" ref="G605:R605" si="295">0.1*G598</f>
        <v>2.3000000000000003</v>
      </c>
      <c r="H605" s="692">
        <f t="shared" si="295"/>
        <v>1.1000000000000001</v>
      </c>
      <c r="I605" s="692">
        <f t="shared" si="295"/>
        <v>92.4</v>
      </c>
      <c r="J605" s="692">
        <f t="shared" si="295"/>
        <v>51.900000000000006</v>
      </c>
      <c r="K605" s="692">
        <f>0.1*K598</f>
        <v>1.1000000000000001</v>
      </c>
      <c r="L605" s="692">
        <f t="shared" si="295"/>
        <v>2.3000000000000003</v>
      </c>
      <c r="M605" s="692">
        <f t="shared" si="295"/>
        <v>1.1000000000000001</v>
      </c>
      <c r="N605" s="692">
        <f t="shared" si="295"/>
        <v>1.1000000000000001</v>
      </c>
      <c r="O605" s="692">
        <f t="shared" si="295"/>
        <v>1.1000000000000001</v>
      </c>
      <c r="P605" s="692"/>
      <c r="Q605" s="692">
        <f t="shared" si="295"/>
        <v>73.8</v>
      </c>
      <c r="R605" s="692">
        <f t="shared" si="295"/>
        <v>72.400000000000006</v>
      </c>
      <c r="S605" s="689"/>
      <c r="T605" s="689"/>
      <c r="U605" s="454"/>
    </row>
    <row r="606" spans="1:21" s="240" customFormat="1" ht="15.75">
      <c r="A606" s="365"/>
      <c r="B606" s="616"/>
      <c r="C606" s="320"/>
      <c r="D606" s="238"/>
      <c r="E606" s="239"/>
      <c r="F606" s="664">
        <f>F598-SUM(F599:F605)</f>
        <v>0</v>
      </c>
      <c r="G606" s="664">
        <f t="shared" ref="G606:U606" si="296">G598-SUM(G599:G605)</f>
        <v>0</v>
      </c>
      <c r="H606" s="664">
        <f t="shared" si="296"/>
        <v>0</v>
      </c>
      <c r="I606" s="664">
        <f t="shared" si="296"/>
        <v>0</v>
      </c>
      <c r="J606" s="664">
        <f t="shared" si="296"/>
        <v>0</v>
      </c>
      <c r="K606" s="664">
        <f>K598-SUM(K599:K605)</f>
        <v>0</v>
      </c>
      <c r="L606" s="664">
        <f t="shared" si="296"/>
        <v>0</v>
      </c>
      <c r="M606" s="664">
        <f t="shared" si="296"/>
        <v>0</v>
      </c>
      <c r="N606" s="664">
        <f t="shared" si="296"/>
        <v>0</v>
      </c>
      <c r="O606" s="664">
        <f t="shared" si="296"/>
        <v>0</v>
      </c>
      <c r="P606" s="664"/>
      <c r="Q606" s="664">
        <f t="shared" si="296"/>
        <v>0</v>
      </c>
      <c r="R606" s="664">
        <f t="shared" si="296"/>
        <v>0</v>
      </c>
      <c r="S606" s="664">
        <f t="shared" si="296"/>
        <v>0</v>
      </c>
      <c r="T606" s="664">
        <f t="shared" si="296"/>
        <v>0</v>
      </c>
      <c r="U606" s="664">
        <f t="shared" si="296"/>
        <v>0</v>
      </c>
    </row>
    <row r="607" spans="1:21" s="59" customFormat="1" ht="15.75">
      <c r="A607" s="769"/>
      <c r="B607" s="656"/>
      <c r="C607" s="404"/>
      <c r="D607" s="641"/>
      <c r="E607" s="405"/>
      <c r="F607" s="690"/>
      <c r="G607" s="679"/>
      <c r="H607" s="679"/>
      <c r="I607" s="679"/>
      <c r="J607" s="679"/>
      <c r="K607" s="679"/>
      <c r="L607" s="679"/>
      <c r="M607" s="679"/>
      <c r="N607" s="679"/>
      <c r="O607" s="679"/>
      <c r="P607" s="679"/>
      <c r="Q607" s="679"/>
      <c r="R607" s="679"/>
      <c r="S607" s="442"/>
      <c r="T607" s="442"/>
      <c r="U607" s="454"/>
    </row>
    <row r="608" spans="1:21" s="288" customFormat="1" ht="15.75">
      <c r="A608" s="417" t="s">
        <v>599</v>
      </c>
      <c r="B608" s="693" t="s">
        <v>118</v>
      </c>
      <c r="C608" s="427"/>
      <c r="D608" s="398"/>
      <c r="E608" s="399"/>
      <c r="F608" s="668"/>
      <c r="G608" s="668"/>
      <c r="H608" s="668">
        <f>TRUNC(0.01*H583)</f>
        <v>11</v>
      </c>
      <c r="I608" s="668">
        <f>TRUNC(0.05*I$583)</f>
        <v>115</v>
      </c>
      <c r="J608" s="668">
        <f>TRUNC(0.05*J583)</f>
        <v>57</v>
      </c>
      <c r="K608" s="668">
        <f>TRUNC(0.01*K583)</f>
        <v>11</v>
      </c>
      <c r="L608" s="668">
        <f>TRUNC(0.01*L583)</f>
        <v>23</v>
      </c>
      <c r="M608" s="668">
        <f>TRUNC(0.03*M583)</f>
        <v>34</v>
      </c>
      <c r="N608" s="668">
        <f>TRUNC(0.05*N570)</f>
        <v>0</v>
      </c>
      <c r="O608" s="668">
        <f>TRUNC(0.01*O570)</f>
        <v>0</v>
      </c>
      <c r="P608" s="668"/>
      <c r="Q608" s="668">
        <f>TRUNC(0.02*Q583)</f>
        <v>69</v>
      </c>
      <c r="R608" s="668">
        <f>TRUNC(0.02*R583)</f>
        <v>69</v>
      </c>
      <c r="S608" s="400">
        <v>0</v>
      </c>
      <c r="T608" s="400">
        <v>0</v>
      </c>
      <c r="U608" s="328">
        <v>0</v>
      </c>
    </row>
    <row r="609" spans="1:21" s="59" customFormat="1" ht="15.75">
      <c r="A609" s="769" t="s">
        <v>600</v>
      </c>
      <c r="B609" s="658" t="s">
        <v>326</v>
      </c>
      <c r="C609" s="404"/>
      <c r="D609" s="641" t="s">
        <v>890</v>
      </c>
      <c r="E609" s="405"/>
      <c r="F609" s="692"/>
      <c r="G609" s="688"/>
      <c r="H609" s="692">
        <f t="shared" ref="H609:M609" si="297">0.2*H608</f>
        <v>2.2000000000000002</v>
      </c>
      <c r="I609" s="692">
        <f t="shared" si="297"/>
        <v>23</v>
      </c>
      <c r="J609" s="692">
        <f t="shared" si="297"/>
        <v>11.4</v>
      </c>
      <c r="K609" s="692">
        <f t="shared" si="297"/>
        <v>2.2000000000000002</v>
      </c>
      <c r="L609" s="692">
        <f t="shared" si="297"/>
        <v>4.6000000000000005</v>
      </c>
      <c r="M609" s="692">
        <f t="shared" si="297"/>
        <v>6.8000000000000007</v>
      </c>
      <c r="N609" s="692"/>
      <c r="O609" s="692"/>
      <c r="P609" s="692"/>
      <c r="Q609" s="692">
        <f>0.4*Q608</f>
        <v>27.6</v>
      </c>
      <c r="R609" s="692">
        <f>0.4*R608</f>
        <v>27.6</v>
      </c>
      <c r="S609" s="689"/>
      <c r="T609" s="689"/>
      <c r="U609" s="454"/>
    </row>
    <row r="610" spans="1:21" s="59" customFormat="1" ht="15.75">
      <c r="A610" s="769" t="s">
        <v>601</v>
      </c>
      <c r="B610" s="656" t="s">
        <v>135</v>
      </c>
      <c r="C610" s="404"/>
      <c r="D610" s="641" t="s">
        <v>890</v>
      </c>
      <c r="E610" s="405"/>
      <c r="F610" s="692"/>
      <c r="G610" s="688"/>
      <c r="H610" s="692">
        <f t="shared" ref="H610:R610" si="298">0.1*H608</f>
        <v>1.1000000000000001</v>
      </c>
      <c r="I610" s="692">
        <f t="shared" si="298"/>
        <v>11.5</v>
      </c>
      <c r="J610" s="692">
        <f t="shared" si="298"/>
        <v>5.7</v>
      </c>
      <c r="K610" s="692">
        <f>0.1*K608</f>
        <v>1.1000000000000001</v>
      </c>
      <c r="L610" s="692">
        <f t="shared" si="298"/>
        <v>2.3000000000000003</v>
      </c>
      <c r="M610" s="692">
        <f t="shared" si="298"/>
        <v>3.4000000000000004</v>
      </c>
      <c r="N610" s="692"/>
      <c r="O610" s="692"/>
      <c r="P610" s="692"/>
      <c r="Q610" s="692">
        <f t="shared" si="298"/>
        <v>6.9</v>
      </c>
      <c r="R610" s="692">
        <f t="shared" si="298"/>
        <v>6.9</v>
      </c>
      <c r="S610" s="689"/>
      <c r="T610" s="689"/>
      <c r="U610" s="454"/>
    </row>
    <row r="611" spans="1:21" s="59" customFormat="1" ht="15.75">
      <c r="A611" s="769" t="s">
        <v>602</v>
      </c>
      <c r="B611" s="656" t="s">
        <v>112</v>
      </c>
      <c r="C611" s="404"/>
      <c r="D611" s="641" t="s">
        <v>890</v>
      </c>
      <c r="E611" s="405"/>
      <c r="F611" s="692"/>
      <c r="G611" s="688"/>
      <c r="H611" s="671">
        <f t="shared" ref="H611:M611" si="299">0.2*H608</f>
        <v>2.2000000000000002</v>
      </c>
      <c r="I611" s="671">
        <f t="shared" si="299"/>
        <v>23</v>
      </c>
      <c r="J611" s="671">
        <f t="shared" si="299"/>
        <v>11.4</v>
      </c>
      <c r="K611" s="671">
        <f>0.2*K608</f>
        <v>2.2000000000000002</v>
      </c>
      <c r="L611" s="671">
        <f t="shared" si="299"/>
        <v>4.6000000000000005</v>
      </c>
      <c r="M611" s="671">
        <f t="shared" si="299"/>
        <v>6.8000000000000007</v>
      </c>
      <c r="N611" s="671"/>
      <c r="O611" s="671"/>
      <c r="P611" s="671"/>
      <c r="Q611" s="671"/>
      <c r="R611" s="671"/>
      <c r="S611" s="689"/>
      <c r="T611" s="689"/>
      <c r="U611" s="454"/>
    </row>
    <row r="612" spans="1:21" s="59" customFormat="1" ht="15.75">
      <c r="A612" s="769" t="s">
        <v>603</v>
      </c>
      <c r="B612" s="656" t="s">
        <v>105</v>
      </c>
      <c r="C612" s="404"/>
      <c r="D612" s="641" t="s">
        <v>890</v>
      </c>
      <c r="E612" s="405"/>
      <c r="F612" s="692"/>
      <c r="G612" s="688"/>
      <c r="H612" s="692">
        <f t="shared" ref="H612:M612" si="300">0.2*H608</f>
        <v>2.2000000000000002</v>
      </c>
      <c r="I612" s="692">
        <f t="shared" si="300"/>
        <v>23</v>
      </c>
      <c r="J612" s="692">
        <f t="shared" si="300"/>
        <v>11.4</v>
      </c>
      <c r="K612" s="692">
        <f t="shared" si="300"/>
        <v>2.2000000000000002</v>
      </c>
      <c r="L612" s="692">
        <f t="shared" si="300"/>
        <v>4.6000000000000005</v>
      </c>
      <c r="M612" s="692">
        <f t="shared" si="300"/>
        <v>6.8000000000000007</v>
      </c>
      <c r="N612" s="692"/>
      <c r="O612" s="692"/>
      <c r="P612" s="692"/>
      <c r="Q612" s="692">
        <f>0.1*Q608</f>
        <v>6.9</v>
      </c>
      <c r="R612" s="692">
        <f>0.1*R608</f>
        <v>6.9</v>
      </c>
      <c r="S612" s="689"/>
      <c r="T612" s="689"/>
      <c r="U612" s="454"/>
    </row>
    <row r="613" spans="1:21" s="59" customFormat="1" ht="15.75">
      <c r="A613" s="769" t="s">
        <v>604</v>
      </c>
      <c r="B613" s="656" t="s">
        <v>595</v>
      </c>
      <c r="C613" s="404"/>
      <c r="D613" s="641" t="s">
        <v>890</v>
      </c>
      <c r="E613" s="405"/>
      <c r="F613" s="692"/>
      <c r="G613" s="688"/>
      <c r="H613" s="692">
        <f t="shared" ref="H613:R613" si="301">0.2*H608</f>
        <v>2.2000000000000002</v>
      </c>
      <c r="I613" s="692">
        <f t="shared" si="301"/>
        <v>23</v>
      </c>
      <c r="J613" s="692">
        <f t="shared" si="301"/>
        <v>11.4</v>
      </c>
      <c r="K613" s="692">
        <f>0.2*K608</f>
        <v>2.2000000000000002</v>
      </c>
      <c r="L613" s="692">
        <f t="shared" si="301"/>
        <v>4.6000000000000005</v>
      </c>
      <c r="M613" s="692">
        <f t="shared" si="301"/>
        <v>6.8000000000000007</v>
      </c>
      <c r="N613" s="692"/>
      <c r="O613" s="692"/>
      <c r="P613" s="692"/>
      <c r="Q613" s="692">
        <f t="shared" si="301"/>
        <v>13.8</v>
      </c>
      <c r="R613" s="692">
        <f t="shared" si="301"/>
        <v>13.8</v>
      </c>
      <c r="S613" s="689"/>
      <c r="T613" s="689"/>
      <c r="U613" s="454"/>
    </row>
    <row r="614" spans="1:21" s="59" customFormat="1" ht="15.75">
      <c r="A614" s="769" t="s">
        <v>605</v>
      </c>
      <c r="B614" s="656" t="s">
        <v>597</v>
      </c>
      <c r="C614" s="404"/>
      <c r="D614" s="641" t="s">
        <v>890</v>
      </c>
      <c r="E614" s="405"/>
      <c r="F614" s="692"/>
      <c r="G614" s="688"/>
      <c r="H614" s="692"/>
      <c r="I614" s="692"/>
      <c r="J614" s="692"/>
      <c r="K614" s="692"/>
      <c r="L614" s="692"/>
      <c r="M614" s="692"/>
      <c r="N614" s="692"/>
      <c r="O614" s="692"/>
      <c r="P614" s="692"/>
      <c r="Q614" s="692">
        <f>0.1*Q608</f>
        <v>6.9</v>
      </c>
      <c r="R614" s="692">
        <f>0.1*R608</f>
        <v>6.9</v>
      </c>
      <c r="S614" s="689"/>
      <c r="T614" s="689"/>
      <c r="U614" s="454"/>
    </row>
    <row r="615" spans="1:21" s="59" customFormat="1" ht="15.75">
      <c r="A615" s="769" t="s">
        <v>606</v>
      </c>
      <c r="B615" s="656" t="s">
        <v>150</v>
      </c>
      <c r="C615" s="404"/>
      <c r="D615" s="641" t="s">
        <v>890</v>
      </c>
      <c r="E615" s="405"/>
      <c r="F615" s="692"/>
      <c r="G615" s="688"/>
      <c r="H615" s="692">
        <f t="shared" ref="H615:R615" si="302">0.1*H608</f>
        <v>1.1000000000000001</v>
      </c>
      <c r="I615" s="692">
        <f t="shared" si="302"/>
        <v>11.5</v>
      </c>
      <c r="J615" s="692">
        <f t="shared" si="302"/>
        <v>5.7</v>
      </c>
      <c r="K615" s="692">
        <f>0.1*K608</f>
        <v>1.1000000000000001</v>
      </c>
      <c r="L615" s="692">
        <f t="shared" si="302"/>
        <v>2.3000000000000003</v>
      </c>
      <c r="M615" s="692">
        <f t="shared" si="302"/>
        <v>3.4000000000000004</v>
      </c>
      <c r="N615" s="692"/>
      <c r="O615" s="692"/>
      <c r="P615" s="692"/>
      <c r="Q615" s="692">
        <f t="shared" si="302"/>
        <v>6.9</v>
      </c>
      <c r="R615" s="692">
        <f t="shared" si="302"/>
        <v>6.9</v>
      </c>
      <c r="S615" s="689"/>
      <c r="T615" s="689"/>
      <c r="U615" s="454"/>
    </row>
    <row r="616" spans="1:21" s="240" customFormat="1" ht="15.75">
      <c r="A616" s="365"/>
      <c r="B616" s="616"/>
      <c r="C616" s="320"/>
      <c r="D616" s="238"/>
      <c r="E616" s="239"/>
      <c r="F616" s="664">
        <f t="shared" ref="F616:U616" si="303">F608-SUM(F609:F615)</f>
        <v>0</v>
      </c>
      <c r="G616" s="664">
        <f t="shared" si="303"/>
        <v>0</v>
      </c>
      <c r="H616" s="664">
        <f t="shared" si="303"/>
        <v>0</v>
      </c>
      <c r="I616" s="664">
        <f t="shared" si="303"/>
        <v>0</v>
      </c>
      <c r="J616" s="664">
        <f t="shared" si="303"/>
        <v>0</v>
      </c>
      <c r="K616" s="664">
        <f t="shared" si="303"/>
        <v>0</v>
      </c>
      <c r="L616" s="664">
        <f t="shared" si="303"/>
        <v>0</v>
      </c>
      <c r="M616" s="664">
        <f t="shared" si="303"/>
        <v>0</v>
      </c>
      <c r="N616" s="664">
        <f t="shared" si="303"/>
        <v>0</v>
      </c>
      <c r="O616" s="664">
        <f t="shared" si="303"/>
        <v>0</v>
      </c>
      <c r="P616" s="664"/>
      <c r="Q616" s="664">
        <f t="shared" si="303"/>
        <v>0</v>
      </c>
      <c r="R616" s="664">
        <f t="shared" si="303"/>
        <v>0</v>
      </c>
      <c r="S616" s="664">
        <f t="shared" si="303"/>
        <v>0</v>
      </c>
      <c r="T616" s="664">
        <f t="shared" si="303"/>
        <v>0</v>
      </c>
      <c r="U616" s="664">
        <f t="shared" si="303"/>
        <v>0</v>
      </c>
    </row>
    <row r="617" spans="1:21" s="59" customFormat="1" ht="15.75">
      <c r="A617" s="769"/>
      <c r="B617" s="656"/>
      <c r="C617" s="404"/>
      <c r="D617" s="641"/>
      <c r="E617" s="405"/>
      <c r="F617" s="690"/>
      <c r="G617" s="679"/>
      <c r="H617" s="679"/>
      <c r="I617" s="679"/>
      <c r="J617" s="679"/>
      <c r="K617" s="679"/>
      <c r="L617" s="679"/>
      <c r="M617" s="679"/>
      <c r="N617" s="679"/>
      <c r="O617" s="679"/>
      <c r="P617" s="679"/>
      <c r="Q617" s="679"/>
      <c r="R617" s="679"/>
      <c r="S617" s="442"/>
      <c r="T617" s="442"/>
      <c r="U617" s="454"/>
    </row>
    <row r="618" spans="1:21" s="288" customFormat="1" ht="15.75">
      <c r="A618" s="417" t="s">
        <v>607</v>
      </c>
      <c r="B618" s="693" t="s">
        <v>122</v>
      </c>
      <c r="C618" s="427"/>
      <c r="D618" s="398"/>
      <c r="E618" s="399"/>
      <c r="F618" s="666"/>
      <c r="G618" s="666"/>
      <c r="H618" s="668">
        <f>TRUNC(0.01*H$583)</f>
        <v>11</v>
      </c>
      <c r="I618" s="668">
        <f>TRUNC(0.05*I$583)</f>
        <v>115</v>
      </c>
      <c r="J618" s="668">
        <f>TRUNC(0.05*J$583)</f>
        <v>57</v>
      </c>
      <c r="K618" s="668">
        <f>TRUNC(0.01*K$583)</f>
        <v>11</v>
      </c>
      <c r="L618" s="666"/>
      <c r="M618" s="666"/>
      <c r="N618" s="666"/>
      <c r="O618" s="666"/>
      <c r="P618" s="666"/>
      <c r="Q618" s="668">
        <f>TRUNC(0.01*Q$583)</f>
        <v>34</v>
      </c>
      <c r="R618" s="668">
        <f>TRUNC(0.01*R$583)</f>
        <v>34</v>
      </c>
      <c r="S618" s="400">
        <v>0</v>
      </c>
      <c r="T618" s="400">
        <v>0</v>
      </c>
      <c r="U618" s="400">
        <v>0</v>
      </c>
    </row>
    <row r="619" spans="1:21" s="59" customFormat="1" ht="15.75">
      <c r="A619" s="769" t="s">
        <v>608</v>
      </c>
      <c r="B619" s="658" t="s">
        <v>326</v>
      </c>
      <c r="C619" s="768"/>
      <c r="D619" s="641" t="s">
        <v>890</v>
      </c>
      <c r="E619" s="405"/>
      <c r="F619" s="683"/>
      <c r="G619" s="684"/>
      <c r="H619" s="692">
        <f>0.5*$H$618</f>
        <v>5.5</v>
      </c>
      <c r="I619" s="692">
        <f>0.2*I618</f>
        <v>23</v>
      </c>
      <c r="J619" s="692">
        <f>0.2*J618</f>
        <v>11.4</v>
      </c>
      <c r="K619" s="692"/>
      <c r="L619" s="692"/>
      <c r="M619" s="692"/>
      <c r="N619" s="692"/>
      <c r="O619" s="692"/>
      <c r="P619" s="692"/>
      <c r="Q619" s="692">
        <f>0.2*Q618</f>
        <v>6.8000000000000007</v>
      </c>
      <c r="R619" s="692">
        <f>0.2*R618</f>
        <v>6.8000000000000007</v>
      </c>
      <c r="S619" s="448"/>
      <c r="T619" s="448"/>
      <c r="U619" s="449"/>
    </row>
    <row r="620" spans="1:21" s="59" customFormat="1" ht="15.75">
      <c r="A620" s="769" t="s">
        <v>609</v>
      </c>
      <c r="B620" s="656" t="s">
        <v>135</v>
      </c>
      <c r="C620" s="404"/>
      <c r="D620" s="641" t="s">
        <v>890</v>
      </c>
      <c r="E620" s="405"/>
      <c r="F620" s="451"/>
      <c r="G620" s="686"/>
      <c r="H620" s="692">
        <f>0.5*$H$618</f>
        <v>5.5</v>
      </c>
      <c r="I620" s="692">
        <f>0.35*I618</f>
        <v>40.25</v>
      </c>
      <c r="J620" s="692">
        <f>0.35*J618</f>
        <v>19.95</v>
      </c>
      <c r="K620" s="692"/>
      <c r="L620" s="692"/>
      <c r="M620" s="692"/>
      <c r="N620" s="692"/>
      <c r="O620" s="692"/>
      <c r="P620" s="692"/>
      <c r="Q620" s="692">
        <f>0.2*Q618</f>
        <v>6.8000000000000007</v>
      </c>
      <c r="R620" s="692">
        <f>0.2*R618</f>
        <v>6.8000000000000007</v>
      </c>
      <c r="S620" s="443"/>
      <c r="T620" s="443"/>
      <c r="U620" s="449"/>
    </row>
    <row r="621" spans="1:21" s="59" customFormat="1" ht="15.75">
      <c r="A621" s="769" t="s">
        <v>610</v>
      </c>
      <c r="B621" s="656" t="s">
        <v>105</v>
      </c>
      <c r="C621" s="404"/>
      <c r="D621" s="641" t="s">
        <v>890</v>
      </c>
      <c r="E621" s="405"/>
      <c r="F621" s="451"/>
      <c r="G621" s="686"/>
      <c r="H621" s="692"/>
      <c r="I621" s="692">
        <f>0.15*I618</f>
        <v>17.25</v>
      </c>
      <c r="J621" s="692">
        <f>0.15*J618</f>
        <v>8.5499999999999989</v>
      </c>
      <c r="K621" s="692">
        <f>0.5*K618</f>
        <v>5.5</v>
      </c>
      <c r="L621" s="692"/>
      <c r="M621" s="692"/>
      <c r="N621" s="692"/>
      <c r="O621" s="692"/>
      <c r="P621" s="692"/>
      <c r="Q621" s="692">
        <f>0.15*Q618</f>
        <v>5.0999999999999996</v>
      </c>
      <c r="R621" s="692">
        <f>0.15*R618</f>
        <v>5.0999999999999996</v>
      </c>
      <c r="S621" s="443"/>
      <c r="T621" s="443"/>
      <c r="U621" s="449"/>
    </row>
    <row r="622" spans="1:21" s="59" customFormat="1" ht="15.75">
      <c r="A622" s="769" t="s">
        <v>611</v>
      </c>
      <c r="B622" s="656" t="s">
        <v>595</v>
      </c>
      <c r="C622" s="404"/>
      <c r="D622" s="641" t="s">
        <v>890</v>
      </c>
      <c r="E622" s="405"/>
      <c r="F622" s="451"/>
      <c r="G622" s="686"/>
      <c r="H622" s="692"/>
      <c r="I622" s="692">
        <f>0.15*I618</f>
        <v>17.25</v>
      </c>
      <c r="J622" s="692">
        <f>0.15*J618</f>
        <v>8.5499999999999989</v>
      </c>
      <c r="K622" s="692">
        <f>0.5*K618</f>
        <v>5.5</v>
      </c>
      <c r="L622" s="692"/>
      <c r="M622" s="692"/>
      <c r="N622" s="692"/>
      <c r="O622" s="692"/>
      <c r="P622" s="692"/>
      <c r="Q622" s="692">
        <f>0.15*Q618</f>
        <v>5.0999999999999996</v>
      </c>
      <c r="R622" s="692">
        <f>0.15*R618</f>
        <v>5.0999999999999996</v>
      </c>
      <c r="S622" s="443"/>
      <c r="T622" s="443"/>
      <c r="U622" s="449"/>
    </row>
    <row r="623" spans="1:21" s="59" customFormat="1" ht="15.75">
      <c r="A623" s="769" t="s">
        <v>612</v>
      </c>
      <c r="B623" s="656" t="s">
        <v>597</v>
      </c>
      <c r="C623" s="404"/>
      <c r="D623" s="641" t="s">
        <v>890</v>
      </c>
      <c r="E623" s="405"/>
      <c r="F623" s="451"/>
      <c r="G623" s="686"/>
      <c r="H623" s="692"/>
      <c r="I623" s="692"/>
      <c r="J623" s="692"/>
      <c r="K623" s="692"/>
      <c r="L623" s="692"/>
      <c r="M623" s="692"/>
      <c r="N623" s="692"/>
      <c r="O623" s="692"/>
      <c r="P623" s="692"/>
      <c r="Q623" s="692">
        <f>0.15*Q618</f>
        <v>5.0999999999999996</v>
      </c>
      <c r="R623" s="692">
        <f>0.15*R618</f>
        <v>5.0999999999999996</v>
      </c>
      <c r="S623" s="443"/>
      <c r="T623" s="443"/>
      <c r="U623" s="449"/>
    </row>
    <row r="624" spans="1:21" s="59" customFormat="1" ht="15.75">
      <c r="A624" s="769" t="s">
        <v>613</v>
      </c>
      <c r="B624" s="656" t="s">
        <v>150</v>
      </c>
      <c r="C624" s="404"/>
      <c r="D624" s="641" t="s">
        <v>890</v>
      </c>
      <c r="E624" s="405"/>
      <c r="F624" s="451"/>
      <c r="G624" s="686"/>
      <c r="H624" s="692"/>
      <c r="I624" s="692">
        <f>0.15*I618</f>
        <v>17.25</v>
      </c>
      <c r="J624" s="692">
        <f>0.15*J618</f>
        <v>8.5499999999999989</v>
      </c>
      <c r="K624" s="692"/>
      <c r="L624" s="692"/>
      <c r="M624" s="692"/>
      <c r="N624" s="692"/>
      <c r="O624" s="692"/>
      <c r="P624" s="692"/>
      <c r="Q624" s="692">
        <f>0.15*Q618</f>
        <v>5.0999999999999996</v>
      </c>
      <c r="R624" s="692">
        <f>0.15*R618</f>
        <v>5.0999999999999996</v>
      </c>
      <c r="S624" s="443"/>
      <c r="T624" s="443"/>
      <c r="U624" s="449"/>
    </row>
    <row r="625" spans="1:21" s="240" customFormat="1" ht="15.75">
      <c r="A625" s="365"/>
      <c r="B625" s="616"/>
      <c r="C625" s="320"/>
      <c r="D625" s="238"/>
      <c r="E625" s="239"/>
      <c r="F625" s="664">
        <f t="shared" ref="F625:U625" si="304">F618-SUM(F619:F624)</f>
        <v>0</v>
      </c>
      <c r="G625" s="664">
        <f t="shared" si="304"/>
        <v>0</v>
      </c>
      <c r="H625" s="664">
        <f>H618-SUM(H619:H624)</f>
        <v>0</v>
      </c>
      <c r="I625" s="664">
        <f t="shared" si="304"/>
        <v>0</v>
      </c>
      <c r="J625" s="664">
        <f t="shared" si="304"/>
        <v>0</v>
      </c>
      <c r="K625" s="664">
        <f t="shared" si="304"/>
        <v>0</v>
      </c>
      <c r="L625" s="664">
        <f t="shared" si="304"/>
        <v>0</v>
      </c>
      <c r="M625" s="664">
        <f t="shared" si="304"/>
        <v>0</v>
      </c>
      <c r="N625" s="664">
        <f t="shared" si="304"/>
        <v>0</v>
      </c>
      <c r="O625" s="664">
        <f t="shared" si="304"/>
        <v>0</v>
      </c>
      <c r="P625" s="664"/>
      <c r="Q625" s="664">
        <f t="shared" si="304"/>
        <v>0</v>
      </c>
      <c r="R625" s="664">
        <f t="shared" si="304"/>
        <v>0</v>
      </c>
      <c r="S625" s="664">
        <f t="shared" si="304"/>
        <v>0</v>
      </c>
      <c r="T625" s="664">
        <f t="shared" si="304"/>
        <v>0</v>
      </c>
      <c r="U625" s="664">
        <f t="shared" si="304"/>
        <v>0</v>
      </c>
    </row>
    <row r="626" spans="1:21" s="59" customFormat="1" ht="15.75">
      <c r="A626" s="769"/>
      <c r="B626" s="656"/>
      <c r="C626" s="404"/>
      <c r="D626" s="641"/>
      <c r="E626" s="405"/>
      <c r="F626" s="690"/>
      <c r="G626" s="679"/>
      <c r="H626" s="679"/>
      <c r="I626" s="679"/>
      <c r="J626" s="679"/>
      <c r="K626" s="679"/>
      <c r="L626" s="679"/>
      <c r="M626" s="679"/>
      <c r="N626" s="679"/>
      <c r="O626" s="679"/>
      <c r="P626" s="679"/>
      <c r="Q626" s="679"/>
      <c r="R626" s="679"/>
      <c r="S626" s="442"/>
      <c r="T626" s="442"/>
      <c r="U626" s="454"/>
    </row>
    <row r="627" spans="1:21" s="288" customFormat="1" ht="15.75">
      <c r="A627" s="417" t="s">
        <v>614</v>
      </c>
      <c r="B627" s="693" t="s">
        <v>354</v>
      </c>
      <c r="C627" s="289"/>
      <c r="D627" s="398"/>
      <c r="E627" s="399"/>
      <c r="F627" s="668">
        <f>TRUNC(0.0163*F$583)</f>
        <v>42</v>
      </c>
      <c r="G627" s="668">
        <f>TRUNC(0.0405*G$583)</f>
        <v>46</v>
      </c>
      <c r="H627" s="668">
        <f>TRUNC(0.06*H$583)</f>
        <v>69</v>
      </c>
      <c r="I627" s="668">
        <f>TRUNC(0.1805*I$583)</f>
        <v>416</v>
      </c>
      <c r="J627" s="668">
        <f>TRUNC(0.112*J$583)</f>
        <v>129</v>
      </c>
      <c r="K627" s="668">
        <f>TRUNC(0.06*K$583)</f>
        <v>69</v>
      </c>
      <c r="L627" s="666"/>
      <c r="M627" s="666"/>
      <c r="N627" s="666"/>
      <c r="O627" s="666"/>
      <c r="P627" s="666"/>
      <c r="Q627" s="668">
        <f>TRUNC(0.02*Q$583)</f>
        <v>69</v>
      </c>
      <c r="R627" s="668">
        <f>TRUNC(0.02*R$583)</f>
        <v>69</v>
      </c>
      <c r="S627" s="400">
        <v>0</v>
      </c>
      <c r="T627" s="400">
        <v>0</v>
      </c>
      <c r="U627" s="400">
        <v>0</v>
      </c>
    </row>
    <row r="628" spans="1:21" s="59" customFormat="1" ht="15.75">
      <c r="A628" s="769" t="s">
        <v>615</v>
      </c>
      <c r="B628" s="658" t="s">
        <v>326</v>
      </c>
      <c r="C628" s="768"/>
      <c r="D628" s="641" t="s">
        <v>890</v>
      </c>
      <c r="E628" s="405"/>
      <c r="F628" s="683">
        <f>1*F627</f>
        <v>42</v>
      </c>
      <c r="G628" s="684">
        <f>0.5*G627</f>
        <v>23</v>
      </c>
      <c r="H628" s="692">
        <f>0.2*$H$627</f>
        <v>13.8</v>
      </c>
      <c r="I628" s="692">
        <f>0.3*I627</f>
        <v>124.8</v>
      </c>
      <c r="J628" s="692">
        <f>0.3*J627</f>
        <v>38.699999999999996</v>
      </c>
      <c r="K628" s="692">
        <f t="shared" ref="K628:K629" si="305">0.2*$K$627</f>
        <v>13.8</v>
      </c>
      <c r="L628" s="692"/>
      <c r="M628" s="692"/>
      <c r="N628" s="692"/>
      <c r="O628" s="692"/>
      <c r="P628" s="692"/>
      <c r="Q628" s="692">
        <f>0.2*Q627</f>
        <v>13.8</v>
      </c>
      <c r="R628" s="692">
        <f>0.2*R627</f>
        <v>13.8</v>
      </c>
      <c r="S628" s="448"/>
      <c r="T628" s="448"/>
      <c r="U628" s="449"/>
    </row>
    <row r="629" spans="1:21" s="59" customFormat="1" ht="15.75">
      <c r="A629" s="769" t="s">
        <v>616</v>
      </c>
      <c r="B629" s="656" t="s">
        <v>135</v>
      </c>
      <c r="C629" s="404"/>
      <c r="D629" s="641" t="s">
        <v>890</v>
      </c>
      <c r="E629" s="405"/>
      <c r="F629" s="451"/>
      <c r="G629" s="686">
        <f>0.5*G627</f>
        <v>23</v>
      </c>
      <c r="H629" s="692">
        <f t="shared" ref="H629:H633" si="306">0.2*$H$627</f>
        <v>13.8</v>
      </c>
      <c r="I629" s="692">
        <f>0.2*I627</f>
        <v>83.2</v>
      </c>
      <c r="J629" s="692">
        <f>0.2*J627</f>
        <v>25.8</v>
      </c>
      <c r="K629" s="692">
        <f t="shared" si="305"/>
        <v>13.8</v>
      </c>
      <c r="L629" s="692"/>
      <c r="M629" s="692"/>
      <c r="N629" s="692"/>
      <c r="O629" s="692"/>
      <c r="P629" s="692"/>
      <c r="Q629" s="692">
        <f>0.2*Q627</f>
        <v>13.8</v>
      </c>
      <c r="R629" s="692">
        <f>0.2*R627</f>
        <v>13.8</v>
      </c>
      <c r="S629" s="443"/>
      <c r="T629" s="443"/>
      <c r="U629" s="449"/>
    </row>
    <row r="630" spans="1:21" s="59" customFormat="1" ht="15.75">
      <c r="A630" s="769" t="s">
        <v>617</v>
      </c>
      <c r="B630" s="656" t="s">
        <v>105</v>
      </c>
      <c r="C630" s="404"/>
      <c r="D630" s="641" t="s">
        <v>890</v>
      </c>
      <c r="E630" s="405"/>
      <c r="F630" s="451"/>
      <c r="G630" s="686"/>
      <c r="H630" s="692">
        <f t="shared" si="306"/>
        <v>13.8</v>
      </c>
      <c r="I630" s="692">
        <f>0.15*I627</f>
        <v>62.4</v>
      </c>
      <c r="J630" s="692">
        <f>0.15*J627</f>
        <v>19.349999999999998</v>
      </c>
      <c r="K630" s="692">
        <f>0.2*$K$627</f>
        <v>13.8</v>
      </c>
      <c r="L630" s="692"/>
      <c r="M630" s="692"/>
      <c r="N630" s="692"/>
      <c r="O630" s="692"/>
      <c r="P630" s="692"/>
      <c r="Q630" s="692">
        <f>0.15*Q627</f>
        <v>10.35</v>
      </c>
      <c r="R630" s="692">
        <f>0.15*R627</f>
        <v>10.35</v>
      </c>
      <c r="S630" s="443"/>
      <c r="T630" s="443"/>
      <c r="U630" s="449"/>
    </row>
    <row r="631" spans="1:21" s="59" customFormat="1" ht="15.75">
      <c r="A631" s="769" t="s">
        <v>618</v>
      </c>
      <c r="B631" s="656" t="s">
        <v>595</v>
      </c>
      <c r="C631" s="404"/>
      <c r="D631" s="641" t="s">
        <v>890</v>
      </c>
      <c r="E631" s="405"/>
      <c r="F631" s="451"/>
      <c r="G631" s="686"/>
      <c r="H631" s="692">
        <f t="shared" si="306"/>
        <v>13.8</v>
      </c>
      <c r="I631" s="692">
        <f>0.2*I627</f>
        <v>83.2</v>
      </c>
      <c r="J631" s="692">
        <f>0.2*J627</f>
        <v>25.8</v>
      </c>
      <c r="K631" s="692">
        <f t="shared" ref="K631:K633" si="307">0.2*$K$627</f>
        <v>13.8</v>
      </c>
      <c r="L631" s="692"/>
      <c r="M631" s="692"/>
      <c r="N631" s="692"/>
      <c r="O631" s="692"/>
      <c r="P631" s="692"/>
      <c r="Q631" s="692">
        <f>0.15*Q627</f>
        <v>10.35</v>
      </c>
      <c r="R631" s="692">
        <f>0.15*R627</f>
        <v>10.35</v>
      </c>
      <c r="S631" s="443"/>
      <c r="T631" s="443"/>
      <c r="U631" s="449"/>
    </row>
    <row r="632" spans="1:21" s="59" customFormat="1" ht="15.75">
      <c r="A632" s="769" t="s">
        <v>619</v>
      </c>
      <c r="B632" s="656" t="s">
        <v>597</v>
      </c>
      <c r="C632" s="404"/>
      <c r="D632" s="641" t="s">
        <v>890</v>
      </c>
      <c r="E632" s="405"/>
      <c r="F632" s="451"/>
      <c r="G632" s="686"/>
      <c r="H632" s="692"/>
      <c r="I632" s="692"/>
      <c r="J632" s="692"/>
      <c r="K632" s="692"/>
      <c r="L632" s="692"/>
      <c r="M632" s="692"/>
      <c r="N632" s="692"/>
      <c r="O632" s="692"/>
      <c r="P632" s="692"/>
      <c r="Q632" s="692">
        <f>0.15*Q627</f>
        <v>10.35</v>
      </c>
      <c r="R632" s="692">
        <f>0.15*R627</f>
        <v>10.35</v>
      </c>
      <c r="S632" s="443"/>
      <c r="T632" s="443"/>
      <c r="U632" s="449"/>
    </row>
    <row r="633" spans="1:21" s="59" customFormat="1" ht="15.75">
      <c r="A633" s="769" t="s">
        <v>620</v>
      </c>
      <c r="B633" s="656" t="s">
        <v>150</v>
      </c>
      <c r="C633" s="404"/>
      <c r="D633" s="641" t="s">
        <v>890</v>
      </c>
      <c r="E633" s="405"/>
      <c r="F633" s="451"/>
      <c r="G633" s="686"/>
      <c r="H633" s="692">
        <f t="shared" si="306"/>
        <v>13.8</v>
      </c>
      <c r="I633" s="692">
        <f>0.15*I627</f>
        <v>62.4</v>
      </c>
      <c r="J633" s="692">
        <f>0.15*J627</f>
        <v>19.349999999999998</v>
      </c>
      <c r="K633" s="692">
        <f t="shared" si="307"/>
        <v>13.8</v>
      </c>
      <c r="L633" s="692"/>
      <c r="M633" s="692"/>
      <c r="N633" s="692"/>
      <c r="O633" s="692"/>
      <c r="P633" s="692"/>
      <c r="Q633" s="692">
        <f>0.15*Q627</f>
        <v>10.35</v>
      </c>
      <c r="R633" s="692">
        <f>0.15*R627</f>
        <v>10.35</v>
      </c>
      <c r="S633" s="443"/>
      <c r="T633" s="443"/>
      <c r="U633" s="449"/>
    </row>
    <row r="634" spans="1:21" s="240" customFormat="1" ht="15.75">
      <c r="A634" s="365"/>
      <c r="B634" s="616"/>
      <c r="C634" s="320"/>
      <c r="D634" s="238"/>
      <c r="E634" s="239"/>
      <c r="F634" s="664">
        <f t="shared" ref="F634:U634" si="308">F627-SUM(F628:F633)</f>
        <v>0</v>
      </c>
      <c r="G634" s="664">
        <f t="shared" si="308"/>
        <v>0</v>
      </c>
      <c r="H634" s="664">
        <f>H627-SUM(H628:H633)</f>
        <v>0</v>
      </c>
      <c r="I634" s="664">
        <f>I627-SUM(I628:I633)</f>
        <v>0</v>
      </c>
      <c r="J634" s="664">
        <f>J627-SUM(J628:J633)</f>
        <v>0</v>
      </c>
      <c r="K634" s="664">
        <f>K627-SUM(K628:K633)</f>
        <v>0</v>
      </c>
      <c r="L634" s="664">
        <f t="shared" si="308"/>
        <v>0</v>
      </c>
      <c r="M634" s="664">
        <f t="shared" si="308"/>
        <v>0</v>
      </c>
      <c r="N634" s="664">
        <f t="shared" si="308"/>
        <v>0</v>
      </c>
      <c r="O634" s="664">
        <f t="shared" si="308"/>
        <v>0</v>
      </c>
      <c r="P634" s="664"/>
      <c r="Q634" s="664">
        <f t="shared" si="308"/>
        <v>0</v>
      </c>
      <c r="R634" s="664">
        <f t="shared" si="308"/>
        <v>0</v>
      </c>
      <c r="S634" s="664">
        <f t="shared" si="308"/>
        <v>0</v>
      </c>
      <c r="T634" s="664">
        <f t="shared" si="308"/>
        <v>0</v>
      </c>
      <c r="U634" s="664">
        <f t="shared" si="308"/>
        <v>0</v>
      </c>
    </row>
    <row r="635" spans="1:21" s="59" customFormat="1" ht="15.75">
      <c r="A635" s="769"/>
      <c r="B635" s="656"/>
      <c r="C635" s="404"/>
      <c r="D635" s="641"/>
      <c r="E635" s="405"/>
      <c r="F635" s="690"/>
      <c r="G635" s="679"/>
      <c r="H635" s="679"/>
      <c r="I635" s="679"/>
      <c r="J635" s="679"/>
      <c r="K635" s="679"/>
      <c r="L635" s="679"/>
      <c r="M635" s="679"/>
      <c r="N635" s="679"/>
      <c r="O635" s="679"/>
      <c r="P635" s="679"/>
      <c r="Q635" s="679"/>
      <c r="R635" s="679"/>
      <c r="S635" s="442"/>
      <c r="T635" s="442"/>
      <c r="U635" s="454"/>
    </row>
    <row r="636" spans="1:21" s="288" customFormat="1" ht="15.75">
      <c r="A636" s="417" t="s">
        <v>621</v>
      </c>
      <c r="B636" s="693" t="s">
        <v>126</v>
      </c>
      <c r="C636" s="427"/>
      <c r="D636" s="398"/>
      <c r="E636" s="399"/>
      <c r="F636" s="666"/>
      <c r="G636" s="666"/>
      <c r="H636" s="668">
        <f>TRUNC(0.01*H583)</f>
        <v>11</v>
      </c>
      <c r="I636" s="668">
        <f>TRUNC(0.05*I583)</f>
        <v>115</v>
      </c>
      <c r="J636" s="668">
        <f>TRUNC(0.1*J583)</f>
        <v>115</v>
      </c>
      <c r="K636" s="668">
        <f>TRUNC(0.01*K583)</f>
        <v>11</v>
      </c>
      <c r="L636" s="666"/>
      <c r="M636" s="666"/>
      <c r="N636" s="666"/>
      <c r="O636" s="666"/>
      <c r="P636" s="666"/>
      <c r="Q636" s="668">
        <f>TRUNC(0.01*Q583)</f>
        <v>34</v>
      </c>
      <c r="R636" s="668">
        <f>TRUNC(0.01*R583)</f>
        <v>34</v>
      </c>
      <c r="S636" s="400">
        <v>0</v>
      </c>
      <c r="T636" s="400">
        <v>0</v>
      </c>
      <c r="U636" s="400">
        <v>0</v>
      </c>
    </row>
    <row r="637" spans="1:21" s="59" customFormat="1" ht="15.75">
      <c r="A637" s="426" t="s">
        <v>622</v>
      </c>
      <c r="B637" s="658" t="s">
        <v>326</v>
      </c>
      <c r="C637" s="396"/>
      <c r="D637" s="641" t="s">
        <v>890</v>
      </c>
      <c r="E637" s="397"/>
      <c r="F637" s="683"/>
      <c r="G637" s="684"/>
      <c r="H637" s="692">
        <f>0.5*$H$636</f>
        <v>5.5</v>
      </c>
      <c r="I637" s="692">
        <f>0.3*I636</f>
        <v>34.5</v>
      </c>
      <c r="J637" s="692">
        <f>0.3*J636</f>
        <v>34.5</v>
      </c>
      <c r="K637" s="692"/>
      <c r="L637" s="692"/>
      <c r="M637" s="692"/>
      <c r="N637" s="692"/>
      <c r="O637" s="692"/>
      <c r="P637" s="692"/>
      <c r="Q637" s="692">
        <f>0.2*Q636</f>
        <v>6.8000000000000007</v>
      </c>
      <c r="R637" s="692">
        <f>0.2*R636</f>
        <v>6.8000000000000007</v>
      </c>
      <c r="S637" s="448"/>
      <c r="T637" s="448"/>
      <c r="U637" s="449"/>
    </row>
    <row r="638" spans="1:21" s="59" customFormat="1" ht="15.75">
      <c r="A638" s="426" t="s">
        <v>623</v>
      </c>
      <c r="B638" s="656" t="s">
        <v>135</v>
      </c>
      <c r="C638" s="404"/>
      <c r="D638" s="641" t="s">
        <v>890</v>
      </c>
      <c r="E638" s="405"/>
      <c r="F638" s="451"/>
      <c r="G638" s="686"/>
      <c r="H638" s="692">
        <f>0.5*$H$636</f>
        <v>5.5</v>
      </c>
      <c r="I638" s="692">
        <f>0.25*I636</f>
        <v>28.75</v>
      </c>
      <c r="J638" s="692">
        <f>0.25*J636</f>
        <v>28.75</v>
      </c>
      <c r="K638" s="692"/>
      <c r="L638" s="692"/>
      <c r="M638" s="692"/>
      <c r="N638" s="692"/>
      <c r="O638" s="692"/>
      <c r="P638" s="692"/>
      <c r="Q638" s="692">
        <f>0.2*Q636</f>
        <v>6.8000000000000007</v>
      </c>
      <c r="R638" s="692">
        <f>0.2*R636</f>
        <v>6.8000000000000007</v>
      </c>
      <c r="S638" s="443"/>
      <c r="T638" s="443"/>
      <c r="U638" s="449"/>
    </row>
    <row r="639" spans="1:21" s="59" customFormat="1" ht="15.75">
      <c r="A639" s="426" t="s">
        <v>624</v>
      </c>
      <c r="B639" s="656" t="s">
        <v>105</v>
      </c>
      <c r="C639" s="404"/>
      <c r="D639" s="641" t="s">
        <v>890</v>
      </c>
      <c r="E639" s="405"/>
      <c r="F639" s="451"/>
      <c r="G639" s="686"/>
      <c r="H639" s="692"/>
      <c r="I639" s="692">
        <f>0.15*I636</f>
        <v>17.25</v>
      </c>
      <c r="J639" s="692">
        <f>0.15*J636</f>
        <v>17.25</v>
      </c>
      <c r="K639" s="692">
        <f>0.5*$K$636</f>
        <v>5.5</v>
      </c>
      <c r="L639" s="692"/>
      <c r="M639" s="692"/>
      <c r="N639" s="692"/>
      <c r="O639" s="692"/>
      <c r="P639" s="692"/>
      <c r="Q639" s="692">
        <f>0.15*Q636</f>
        <v>5.0999999999999996</v>
      </c>
      <c r="R639" s="692">
        <f>0.15*R636</f>
        <v>5.0999999999999996</v>
      </c>
      <c r="S639" s="443"/>
      <c r="T639" s="443"/>
      <c r="U639" s="449"/>
    </row>
    <row r="640" spans="1:21" s="59" customFormat="1" ht="15.75">
      <c r="A640" s="426" t="s">
        <v>625</v>
      </c>
      <c r="B640" s="656" t="s">
        <v>595</v>
      </c>
      <c r="C640" s="404"/>
      <c r="D640" s="641" t="s">
        <v>890</v>
      </c>
      <c r="E640" s="405"/>
      <c r="F640" s="451"/>
      <c r="G640" s="686"/>
      <c r="H640" s="692"/>
      <c r="I640" s="692">
        <f>0.15*I636</f>
        <v>17.25</v>
      </c>
      <c r="J640" s="692">
        <f>0.15*J636</f>
        <v>17.25</v>
      </c>
      <c r="K640" s="692">
        <f>0.5*$K$636</f>
        <v>5.5</v>
      </c>
      <c r="L640" s="692"/>
      <c r="M640" s="692"/>
      <c r="N640" s="692"/>
      <c r="O640" s="692"/>
      <c r="P640" s="692"/>
      <c r="Q640" s="692">
        <f>0.15*Q636</f>
        <v>5.0999999999999996</v>
      </c>
      <c r="R640" s="692">
        <f>0.15*R636</f>
        <v>5.0999999999999996</v>
      </c>
      <c r="S640" s="443"/>
      <c r="T640" s="443"/>
      <c r="U640" s="449"/>
    </row>
    <row r="641" spans="1:21" s="59" customFormat="1" ht="15.75">
      <c r="A641" s="426" t="s">
        <v>626</v>
      </c>
      <c r="B641" s="656" t="s">
        <v>597</v>
      </c>
      <c r="C641" s="404"/>
      <c r="D641" s="641" t="s">
        <v>890</v>
      </c>
      <c r="E641" s="405"/>
      <c r="F641" s="451"/>
      <c r="G641" s="686"/>
      <c r="H641" s="692"/>
      <c r="I641" s="692"/>
      <c r="J641" s="692"/>
      <c r="K641" s="692"/>
      <c r="L641" s="692"/>
      <c r="M641" s="692"/>
      <c r="N641" s="692"/>
      <c r="O641" s="692"/>
      <c r="P641" s="692"/>
      <c r="Q641" s="692">
        <f>0.15*Q636</f>
        <v>5.0999999999999996</v>
      </c>
      <c r="R641" s="692">
        <f>0.15*R636</f>
        <v>5.0999999999999996</v>
      </c>
      <c r="S641" s="443"/>
      <c r="T641" s="443"/>
      <c r="U641" s="449"/>
    </row>
    <row r="642" spans="1:21" s="59" customFormat="1" ht="15.75">
      <c r="A642" s="426" t="s">
        <v>627</v>
      </c>
      <c r="B642" s="656" t="s">
        <v>150</v>
      </c>
      <c r="C642" s="404"/>
      <c r="D642" s="641" t="s">
        <v>890</v>
      </c>
      <c r="E642" s="405"/>
      <c r="F642" s="451"/>
      <c r="G642" s="686"/>
      <c r="H642" s="692"/>
      <c r="I642" s="692">
        <f>0.15*I636</f>
        <v>17.25</v>
      </c>
      <c r="J642" s="692">
        <f>0.15*J636</f>
        <v>17.25</v>
      </c>
      <c r="K642" s="692"/>
      <c r="L642" s="692"/>
      <c r="M642" s="692"/>
      <c r="N642" s="692"/>
      <c r="O642" s="692"/>
      <c r="P642" s="692"/>
      <c r="Q642" s="692">
        <f>0.15*Q636</f>
        <v>5.0999999999999996</v>
      </c>
      <c r="R642" s="692">
        <f>0.15*R636</f>
        <v>5.0999999999999996</v>
      </c>
      <c r="S642" s="443"/>
      <c r="T642" s="443"/>
      <c r="U642" s="449"/>
    </row>
    <row r="643" spans="1:21" s="240" customFormat="1" ht="15.75">
      <c r="A643" s="365"/>
      <c r="B643" s="616"/>
      <c r="C643" s="320"/>
      <c r="D643" s="238"/>
      <c r="E643" s="239"/>
      <c r="F643" s="664">
        <f t="shared" ref="F643:U643" si="309">F636-SUM(F637:F642)</f>
        <v>0</v>
      </c>
      <c r="G643" s="664">
        <f t="shared" si="309"/>
        <v>0</v>
      </c>
      <c r="H643" s="664">
        <f t="shared" si="309"/>
        <v>0</v>
      </c>
      <c r="I643" s="664">
        <f>I636-SUM(I637:I642)</f>
        <v>0</v>
      </c>
      <c r="J643" s="664">
        <f t="shared" si="309"/>
        <v>0</v>
      </c>
      <c r="K643" s="664">
        <f>K636-SUM(K637:K642)</f>
        <v>0</v>
      </c>
      <c r="L643" s="664">
        <f t="shared" si="309"/>
        <v>0</v>
      </c>
      <c r="M643" s="664">
        <f t="shared" si="309"/>
        <v>0</v>
      </c>
      <c r="N643" s="664">
        <f t="shared" si="309"/>
        <v>0</v>
      </c>
      <c r="O643" s="664">
        <f t="shared" si="309"/>
        <v>0</v>
      </c>
      <c r="P643" s="664"/>
      <c r="Q643" s="664">
        <f t="shared" si="309"/>
        <v>0</v>
      </c>
      <c r="R643" s="664">
        <f t="shared" si="309"/>
        <v>0</v>
      </c>
      <c r="S643" s="664">
        <f t="shared" si="309"/>
        <v>0</v>
      </c>
      <c r="T643" s="664">
        <f t="shared" si="309"/>
        <v>0</v>
      </c>
      <c r="U643" s="664">
        <f t="shared" si="309"/>
        <v>0</v>
      </c>
    </row>
    <row r="644" spans="1:21" s="59" customFormat="1" ht="15.75">
      <c r="A644" s="769"/>
      <c r="B644" s="656"/>
      <c r="C644" s="404"/>
      <c r="D644" s="641"/>
      <c r="E644" s="405"/>
      <c r="F644" s="690"/>
      <c r="G644" s="679"/>
      <c r="H644" s="679"/>
      <c r="I644" s="679"/>
      <c r="J644" s="679"/>
      <c r="K644" s="679"/>
      <c r="L644" s="679"/>
      <c r="M644" s="679"/>
      <c r="N644" s="679"/>
      <c r="O644" s="679"/>
      <c r="P644" s="679"/>
      <c r="Q644" s="679"/>
      <c r="R644" s="679"/>
      <c r="S644" s="442"/>
      <c r="T644" s="442"/>
      <c r="U644" s="454"/>
    </row>
    <row r="645" spans="1:21" s="288" customFormat="1" ht="15.75">
      <c r="A645" s="417" t="s">
        <v>628</v>
      </c>
      <c r="B645" s="693" t="s">
        <v>367</v>
      </c>
      <c r="C645" s="427"/>
      <c r="D645" s="398"/>
      <c r="E645" s="399"/>
      <c r="F645" s="666">
        <f>TRUNC(0.02*F$583)</f>
        <v>52</v>
      </c>
      <c r="G645" s="666">
        <f>TRUNC(0.02*G$583)</f>
        <v>23</v>
      </c>
      <c r="H645" s="668">
        <f>TRUNC(0.01*H$583)</f>
        <v>11</v>
      </c>
      <c r="I645" s="669"/>
      <c r="J645" s="669"/>
      <c r="K645" s="668">
        <f>TRUNC(0.01*K$583)</f>
        <v>11</v>
      </c>
      <c r="L645" s="669"/>
      <c r="M645" s="669"/>
      <c r="N645" s="669"/>
      <c r="O645" s="669"/>
      <c r="P645" s="669"/>
      <c r="Q645" s="666">
        <f>TRUNC(0.02*Q$583)</f>
        <v>69</v>
      </c>
      <c r="R645" s="666">
        <f>TRUNC(0.02*R$583)</f>
        <v>69</v>
      </c>
      <c r="S645" s="669">
        <v>0</v>
      </c>
      <c r="T645" s="669">
        <v>0</v>
      </c>
      <c r="U645" s="669">
        <v>0</v>
      </c>
    </row>
    <row r="646" spans="1:21" s="59" customFormat="1" ht="15.75">
      <c r="A646" s="769" t="s">
        <v>629</v>
      </c>
      <c r="B646" s="658" t="s">
        <v>326</v>
      </c>
      <c r="C646" s="404"/>
      <c r="D646" s="641" t="s">
        <v>890</v>
      </c>
      <c r="E646" s="405"/>
      <c r="F646" s="692">
        <f>0.2*F645</f>
        <v>10.4</v>
      </c>
      <c r="G646" s="692">
        <f>0.2*G645</f>
        <v>4.6000000000000005</v>
      </c>
      <c r="H646" s="692">
        <f>0.5*$H$645</f>
        <v>5.5</v>
      </c>
      <c r="I646" s="692"/>
      <c r="J646" s="692"/>
      <c r="K646" s="692"/>
      <c r="L646" s="692"/>
      <c r="M646" s="692"/>
      <c r="N646" s="692"/>
      <c r="O646" s="692"/>
      <c r="P646" s="692"/>
      <c r="Q646" s="692">
        <f>0.4*Q645</f>
        <v>27.6</v>
      </c>
      <c r="R646" s="692">
        <f>0.4*R645</f>
        <v>27.6</v>
      </c>
      <c r="S646" s="689"/>
      <c r="T646" s="689"/>
      <c r="U646" s="454"/>
    </row>
    <row r="647" spans="1:21" s="59" customFormat="1" ht="15.75">
      <c r="A647" s="769" t="s">
        <v>630</v>
      </c>
      <c r="B647" s="656" t="s">
        <v>135</v>
      </c>
      <c r="C647" s="404"/>
      <c r="D647" s="641" t="s">
        <v>890</v>
      </c>
      <c r="E647" s="405"/>
      <c r="F647" s="692">
        <f>0.1*F645</f>
        <v>5.2</v>
      </c>
      <c r="G647" s="692">
        <f>0.2*G645</f>
        <v>4.6000000000000005</v>
      </c>
      <c r="H647" s="692">
        <f>0.5*$H$645</f>
        <v>5.5</v>
      </c>
      <c r="I647" s="692"/>
      <c r="J647" s="692"/>
      <c r="K647" s="692"/>
      <c r="L647" s="692"/>
      <c r="M647" s="692"/>
      <c r="N647" s="692"/>
      <c r="O647" s="692"/>
      <c r="P647" s="692"/>
      <c r="Q647" s="692">
        <f>0.1*Q645</f>
        <v>6.9</v>
      </c>
      <c r="R647" s="692">
        <f>0.1*R645</f>
        <v>6.9</v>
      </c>
      <c r="S647" s="689"/>
      <c r="T647" s="689"/>
      <c r="U647" s="454"/>
    </row>
    <row r="648" spans="1:21" s="59" customFormat="1" ht="15.75">
      <c r="A648" s="769" t="s">
        <v>631</v>
      </c>
      <c r="B648" s="656" t="s">
        <v>112</v>
      </c>
      <c r="C648" s="404"/>
      <c r="D648" s="641" t="s">
        <v>890</v>
      </c>
      <c r="E648" s="405"/>
      <c r="F648" s="671">
        <f>0.2*F645</f>
        <v>10.4</v>
      </c>
      <c r="G648" s="671">
        <f>0.2*G645</f>
        <v>4.6000000000000005</v>
      </c>
      <c r="H648" s="692"/>
      <c r="I648" s="671"/>
      <c r="J648" s="671"/>
      <c r="K648" s="692"/>
      <c r="L648" s="671"/>
      <c r="M648" s="671"/>
      <c r="N648" s="671"/>
      <c r="O648" s="671"/>
      <c r="P648" s="671"/>
      <c r="Q648" s="671"/>
      <c r="R648" s="671"/>
      <c r="S648" s="689"/>
      <c r="T648" s="689"/>
      <c r="U648" s="454"/>
    </row>
    <row r="649" spans="1:21" s="59" customFormat="1" ht="15.75">
      <c r="A649" s="769" t="s">
        <v>632</v>
      </c>
      <c r="B649" s="656" t="s">
        <v>105</v>
      </c>
      <c r="C649" s="404"/>
      <c r="D649" s="641" t="s">
        <v>890</v>
      </c>
      <c r="E649" s="405"/>
      <c r="F649" s="692">
        <f>0.2*F645</f>
        <v>10.4</v>
      </c>
      <c r="G649" s="692">
        <f>0.2*G645</f>
        <v>4.6000000000000005</v>
      </c>
      <c r="H649" s="692"/>
      <c r="I649" s="692"/>
      <c r="J649" s="692"/>
      <c r="K649" s="692">
        <f>0.5*$K$645</f>
        <v>5.5</v>
      </c>
      <c r="L649" s="692"/>
      <c r="M649" s="692"/>
      <c r="N649" s="692"/>
      <c r="O649" s="692"/>
      <c r="P649" s="692"/>
      <c r="Q649" s="692">
        <f>0.1*Q645</f>
        <v>6.9</v>
      </c>
      <c r="R649" s="692">
        <f>0.1*R645</f>
        <v>6.9</v>
      </c>
      <c r="S649" s="689"/>
      <c r="T649" s="689"/>
      <c r="U649" s="454"/>
    </row>
    <row r="650" spans="1:21" s="59" customFormat="1" ht="15.75">
      <c r="A650" s="769" t="s">
        <v>633</v>
      </c>
      <c r="B650" s="656" t="s">
        <v>595</v>
      </c>
      <c r="C650" s="404"/>
      <c r="D650" s="641" t="s">
        <v>890</v>
      </c>
      <c r="E650" s="405"/>
      <c r="F650" s="692">
        <f>0.2*F645</f>
        <v>10.4</v>
      </c>
      <c r="G650" s="692">
        <f>0.2*G645</f>
        <v>4.6000000000000005</v>
      </c>
      <c r="H650" s="692"/>
      <c r="I650" s="692"/>
      <c r="J650" s="692"/>
      <c r="K650" s="692">
        <f>0.5*$K$645</f>
        <v>5.5</v>
      </c>
      <c r="L650" s="692"/>
      <c r="M650" s="692"/>
      <c r="N650" s="692"/>
      <c r="O650" s="692"/>
      <c r="P650" s="692"/>
      <c r="Q650" s="692">
        <f>0.2*Q645</f>
        <v>13.8</v>
      </c>
      <c r="R650" s="692">
        <f>0.2*R645</f>
        <v>13.8</v>
      </c>
      <c r="S650" s="689"/>
      <c r="T650" s="689"/>
      <c r="U650" s="454"/>
    </row>
    <row r="651" spans="1:21" s="59" customFormat="1" ht="15.75">
      <c r="A651" s="769" t="s">
        <v>634</v>
      </c>
      <c r="B651" s="656" t="s">
        <v>597</v>
      </c>
      <c r="C651" s="404"/>
      <c r="D651" s="641" t="s">
        <v>890</v>
      </c>
      <c r="E651" s="405"/>
      <c r="F651" s="692"/>
      <c r="G651" s="692"/>
      <c r="H651" s="692"/>
      <c r="I651" s="692"/>
      <c r="J651" s="692"/>
      <c r="K651" s="692"/>
      <c r="L651" s="692"/>
      <c r="M651" s="692"/>
      <c r="N651" s="692"/>
      <c r="O651" s="692"/>
      <c r="P651" s="692"/>
      <c r="Q651" s="692">
        <f>0.1*Q645</f>
        <v>6.9</v>
      </c>
      <c r="R651" s="692">
        <f>0.1*R645</f>
        <v>6.9</v>
      </c>
      <c r="S651" s="689"/>
      <c r="T651" s="689"/>
      <c r="U651" s="454"/>
    </row>
    <row r="652" spans="1:21" s="59" customFormat="1" ht="15.75">
      <c r="A652" s="769" t="s">
        <v>635</v>
      </c>
      <c r="B652" s="656" t="s">
        <v>150</v>
      </c>
      <c r="C652" s="404"/>
      <c r="D652" s="641" t="s">
        <v>890</v>
      </c>
      <c r="E652" s="405"/>
      <c r="F652" s="692">
        <f>0.1*F645</f>
        <v>5.2</v>
      </c>
      <c r="G652" s="692"/>
      <c r="H652" s="692"/>
      <c r="I652" s="692"/>
      <c r="J652" s="692"/>
      <c r="K652" s="692"/>
      <c r="L652" s="692"/>
      <c r="M652" s="692"/>
      <c r="N652" s="692"/>
      <c r="O652" s="692"/>
      <c r="P652" s="692"/>
      <c r="Q652" s="692">
        <f>0.1*Q645</f>
        <v>6.9</v>
      </c>
      <c r="R652" s="692">
        <f>0.1*R645</f>
        <v>6.9</v>
      </c>
      <c r="S652" s="689"/>
      <c r="T652" s="689"/>
      <c r="U652" s="454"/>
    </row>
    <row r="653" spans="1:21" s="240" customFormat="1" ht="15.75">
      <c r="A653" s="365"/>
      <c r="B653" s="616"/>
      <c r="C653" s="320"/>
      <c r="D653" s="238"/>
      <c r="E653" s="239"/>
      <c r="F653" s="664">
        <f>F645-SUM(F646:F652)</f>
        <v>0</v>
      </c>
      <c r="G653" s="664">
        <f t="shared" ref="G653:U653" si="310">G645-SUM(G646:G652)</f>
        <v>0</v>
      </c>
      <c r="H653" s="664">
        <f t="shared" si="310"/>
        <v>0</v>
      </c>
      <c r="I653" s="664">
        <f t="shared" si="310"/>
        <v>0</v>
      </c>
      <c r="J653" s="664">
        <f t="shared" si="310"/>
        <v>0</v>
      </c>
      <c r="K653" s="664">
        <f>K645-SUM(K646:K652)</f>
        <v>0</v>
      </c>
      <c r="L653" s="664">
        <f t="shared" si="310"/>
        <v>0</v>
      </c>
      <c r="M653" s="664">
        <f t="shared" si="310"/>
        <v>0</v>
      </c>
      <c r="N653" s="664">
        <f t="shared" si="310"/>
        <v>0</v>
      </c>
      <c r="O653" s="664">
        <f t="shared" si="310"/>
        <v>0</v>
      </c>
      <c r="P653" s="664"/>
      <c r="Q653" s="664">
        <f t="shared" si="310"/>
        <v>0</v>
      </c>
      <c r="R653" s="664">
        <f t="shared" si="310"/>
        <v>0</v>
      </c>
      <c r="S653" s="664">
        <f t="shared" si="310"/>
        <v>0</v>
      </c>
      <c r="T653" s="664">
        <f t="shared" si="310"/>
        <v>0</v>
      </c>
      <c r="U653" s="664">
        <f t="shared" si="310"/>
        <v>0</v>
      </c>
    </row>
    <row r="654" spans="1:21" s="240" customFormat="1" ht="15.75">
      <c r="A654" s="365"/>
      <c r="B654" s="616"/>
      <c r="C654" s="320"/>
      <c r="D654" s="238"/>
      <c r="E654" s="239"/>
      <c r="F654" s="664"/>
      <c r="G654" s="655"/>
      <c r="H654" s="655"/>
      <c r="I654" s="655"/>
      <c r="J654" s="655"/>
      <c r="K654" s="655"/>
      <c r="L654" s="655"/>
      <c r="M654" s="655"/>
      <c r="N654" s="655"/>
      <c r="O654" s="655"/>
      <c r="P654" s="655"/>
      <c r="Q654" s="655"/>
      <c r="R654" s="655"/>
      <c r="S654" s="345"/>
      <c r="T654" s="345"/>
      <c r="U654" s="345"/>
    </row>
    <row r="655" spans="1:21" s="347" customFormat="1" ht="15.75">
      <c r="A655" s="417" t="s">
        <v>636</v>
      </c>
      <c r="B655" s="693" t="s">
        <v>376</v>
      </c>
      <c r="C655" s="427"/>
      <c r="D655" s="419"/>
      <c r="E655" s="346"/>
      <c r="F655" s="669"/>
      <c r="G655" s="654"/>
      <c r="H655" s="654"/>
      <c r="I655" s="654"/>
      <c r="J655" s="654"/>
      <c r="K655" s="654"/>
      <c r="L655" s="654"/>
      <c r="M655" s="654"/>
      <c r="N655" s="654"/>
      <c r="O655" s="654"/>
      <c r="P655" s="654"/>
      <c r="Q655" s="654"/>
      <c r="R655" s="654"/>
      <c r="S655" s="400"/>
      <c r="T655" s="400"/>
      <c r="U655" s="328"/>
    </row>
    <row r="656" spans="1:21" s="288" customFormat="1" ht="15.75">
      <c r="A656" s="477" t="s">
        <v>637</v>
      </c>
      <c r="B656" s="660" t="s">
        <v>378</v>
      </c>
      <c r="C656" s="339"/>
      <c r="D656" s="398"/>
      <c r="E656" s="341"/>
      <c r="F656" s="666">
        <f>TRUNC(0.125*F$583)</f>
        <v>327</v>
      </c>
      <c r="G656" s="666">
        <f>TRUNC(0.15*G$583)</f>
        <v>173</v>
      </c>
      <c r="H656" s="668">
        <f>TRUNC(0.01*H$583)</f>
        <v>11</v>
      </c>
      <c r="I656" s="668"/>
      <c r="J656" s="668"/>
      <c r="K656" s="668">
        <f>TRUNC(0.01*K$583)</f>
        <v>11</v>
      </c>
      <c r="L656" s="666"/>
      <c r="M656" s="666"/>
      <c r="N656" s="666"/>
      <c r="O656" s="666"/>
      <c r="P656" s="666"/>
      <c r="Q656" s="668">
        <f>TRUNC(0.1*Q$583)</f>
        <v>346</v>
      </c>
      <c r="R656" s="668">
        <f>TRUNC(0.1*R$583)</f>
        <v>346</v>
      </c>
      <c r="S656" s="400">
        <v>0</v>
      </c>
      <c r="T656" s="400">
        <v>0</v>
      </c>
      <c r="U656" s="328">
        <v>0</v>
      </c>
    </row>
    <row r="657" spans="1:21" s="59" customFormat="1" ht="15.75">
      <c r="A657" s="769" t="s">
        <v>638</v>
      </c>
      <c r="B657" s="658" t="s">
        <v>326</v>
      </c>
      <c r="C657" s="404"/>
      <c r="D657" s="641" t="s">
        <v>890</v>
      </c>
      <c r="E657" s="239"/>
      <c r="F657" s="692">
        <f>0.2*F656</f>
        <v>65.400000000000006</v>
      </c>
      <c r="G657" s="692">
        <f>0.2*G656</f>
        <v>34.6</v>
      </c>
      <c r="H657" s="692">
        <f>0.5*$H$656</f>
        <v>5.5</v>
      </c>
      <c r="I657" s="688"/>
      <c r="J657" s="688"/>
      <c r="K657" s="688"/>
      <c r="L657" s="688"/>
      <c r="M657" s="688"/>
      <c r="N657" s="688"/>
      <c r="O657" s="688"/>
      <c r="P657" s="688"/>
      <c r="Q657" s="688">
        <f>0.1*$Q$656</f>
        <v>34.6</v>
      </c>
      <c r="R657" s="688">
        <f>0.15*$R$656</f>
        <v>51.9</v>
      </c>
      <c r="S657" s="689"/>
      <c r="T657" s="689"/>
      <c r="U657" s="454"/>
    </row>
    <row r="658" spans="1:21" s="59" customFormat="1" ht="15.75">
      <c r="A658" s="769" t="s">
        <v>639</v>
      </c>
      <c r="B658" s="658" t="s">
        <v>135</v>
      </c>
      <c r="C658" s="404"/>
      <c r="D658" s="641" t="s">
        <v>890</v>
      </c>
      <c r="E658" s="405"/>
      <c r="F658" s="692">
        <f>0.2*F656</f>
        <v>65.400000000000006</v>
      </c>
      <c r="G658" s="692">
        <f>0.2*G656</f>
        <v>34.6</v>
      </c>
      <c r="H658" s="692">
        <f>0.5*$H$656</f>
        <v>5.5</v>
      </c>
      <c r="I658" s="688"/>
      <c r="J658" s="688"/>
      <c r="K658" s="688"/>
      <c r="L658" s="688"/>
      <c r="M658" s="688"/>
      <c r="N658" s="688"/>
      <c r="O658" s="688"/>
      <c r="P658" s="688"/>
      <c r="Q658" s="688">
        <f t="shared" ref="Q658:Q663" si="311">0.1*$Q$656</f>
        <v>34.6</v>
      </c>
      <c r="R658" s="688">
        <f t="shared" ref="R658:R663" si="312">0.15*$R$656</f>
        <v>51.9</v>
      </c>
      <c r="S658" s="689"/>
      <c r="T658" s="689"/>
      <c r="U658" s="454"/>
    </row>
    <row r="659" spans="1:21" s="59" customFormat="1" ht="15.75">
      <c r="A659" s="769" t="s">
        <v>640</v>
      </c>
      <c r="B659" s="658" t="s">
        <v>137</v>
      </c>
      <c r="C659" s="404"/>
      <c r="D659" s="641" t="s">
        <v>890</v>
      </c>
      <c r="E659" s="405"/>
      <c r="F659" s="692">
        <f>0.1*F656</f>
        <v>32.700000000000003</v>
      </c>
      <c r="G659" s="692">
        <f>0.1*G656</f>
        <v>17.3</v>
      </c>
      <c r="H659" s="692"/>
      <c r="I659" s="688"/>
      <c r="J659" s="688"/>
      <c r="K659" s="688"/>
      <c r="L659" s="688"/>
      <c r="M659" s="688"/>
      <c r="N659" s="688"/>
      <c r="O659" s="688"/>
      <c r="P659" s="688"/>
      <c r="Q659" s="688"/>
      <c r="R659" s="688"/>
      <c r="S659" s="689"/>
      <c r="T659" s="689"/>
      <c r="U659" s="454"/>
    </row>
    <row r="660" spans="1:21" s="59" customFormat="1" ht="15.75">
      <c r="A660" s="769" t="s">
        <v>641</v>
      </c>
      <c r="B660" s="656" t="s">
        <v>105</v>
      </c>
      <c r="C660" s="404"/>
      <c r="D660" s="641" t="s">
        <v>890</v>
      </c>
      <c r="E660" s="405"/>
      <c r="F660" s="692">
        <f>0.1*F656</f>
        <v>32.700000000000003</v>
      </c>
      <c r="G660" s="692">
        <f>0.1*G656</f>
        <v>17.3</v>
      </c>
      <c r="H660" s="692"/>
      <c r="I660" s="688"/>
      <c r="J660" s="688"/>
      <c r="K660" s="688">
        <f>0.5*$K$656</f>
        <v>5.5</v>
      </c>
      <c r="L660" s="688"/>
      <c r="M660" s="688"/>
      <c r="N660" s="688"/>
      <c r="O660" s="688"/>
      <c r="P660" s="688"/>
      <c r="Q660" s="688">
        <f>0.25*$Q$656</f>
        <v>86.5</v>
      </c>
      <c r="R660" s="688">
        <f t="shared" si="312"/>
        <v>51.9</v>
      </c>
      <c r="S660" s="689"/>
      <c r="T660" s="689"/>
      <c r="U660" s="454"/>
    </row>
    <row r="661" spans="1:21" s="59" customFormat="1" ht="15.75">
      <c r="A661" s="769" t="s">
        <v>642</v>
      </c>
      <c r="B661" s="656" t="s">
        <v>595</v>
      </c>
      <c r="C661" s="404"/>
      <c r="D661" s="641" t="s">
        <v>890</v>
      </c>
      <c r="E661" s="405"/>
      <c r="F661" s="692">
        <f>0.1*F656</f>
        <v>32.700000000000003</v>
      </c>
      <c r="G661" s="692">
        <f>0.1*G656</f>
        <v>17.3</v>
      </c>
      <c r="H661" s="692"/>
      <c r="I661" s="688"/>
      <c r="J661" s="688"/>
      <c r="K661" s="688">
        <f>0.5*$K$656</f>
        <v>5.5</v>
      </c>
      <c r="L661" s="688"/>
      <c r="M661" s="688"/>
      <c r="N661" s="688"/>
      <c r="O661" s="688"/>
      <c r="P661" s="688"/>
      <c r="Q661" s="688">
        <f>0.25*$Q$656</f>
        <v>86.5</v>
      </c>
      <c r="R661" s="688">
        <f t="shared" si="312"/>
        <v>51.9</v>
      </c>
      <c r="S661" s="689"/>
      <c r="T661" s="689"/>
      <c r="U661" s="454"/>
    </row>
    <row r="662" spans="1:21" s="318" customFormat="1" ht="15.75">
      <c r="A662" s="769" t="s">
        <v>643</v>
      </c>
      <c r="B662" s="656" t="s">
        <v>386</v>
      </c>
      <c r="C662" s="404"/>
      <c r="D662" s="641" t="s">
        <v>890</v>
      </c>
      <c r="E662" s="405"/>
      <c r="F662" s="692">
        <f>0.1*F656</f>
        <v>32.700000000000003</v>
      </c>
      <c r="G662" s="692">
        <f>0.1*G656</f>
        <v>17.3</v>
      </c>
      <c r="H662" s="692"/>
      <c r="I662" s="688"/>
      <c r="J662" s="688"/>
      <c r="K662" s="688"/>
      <c r="L662" s="688"/>
      <c r="M662" s="688"/>
      <c r="N662" s="688"/>
      <c r="O662" s="688"/>
      <c r="P662" s="688"/>
      <c r="Q662" s="688">
        <f t="shared" si="311"/>
        <v>34.6</v>
      </c>
      <c r="R662" s="688">
        <f t="shared" si="312"/>
        <v>51.9</v>
      </c>
      <c r="S662" s="689"/>
      <c r="T662" s="689"/>
      <c r="U662" s="454"/>
    </row>
    <row r="663" spans="1:21" s="318" customFormat="1" ht="15.75">
      <c r="A663" s="769" t="s">
        <v>644</v>
      </c>
      <c r="B663" s="656" t="s">
        <v>388</v>
      </c>
      <c r="C663" s="404"/>
      <c r="D663" s="641" t="s">
        <v>890</v>
      </c>
      <c r="E663" s="405"/>
      <c r="F663" s="692">
        <f>0.1*F656</f>
        <v>32.700000000000003</v>
      </c>
      <c r="G663" s="692">
        <f>0.1*G656</f>
        <v>17.3</v>
      </c>
      <c r="H663" s="692"/>
      <c r="I663" s="688"/>
      <c r="J663" s="688"/>
      <c r="K663" s="688"/>
      <c r="L663" s="688"/>
      <c r="M663" s="688"/>
      <c r="N663" s="688"/>
      <c r="O663" s="688"/>
      <c r="P663" s="688"/>
      <c r="Q663" s="688">
        <f t="shared" si="311"/>
        <v>34.6</v>
      </c>
      <c r="R663" s="688">
        <f t="shared" si="312"/>
        <v>51.9</v>
      </c>
      <c r="S663" s="689"/>
      <c r="T663" s="689"/>
      <c r="U663" s="454"/>
    </row>
    <row r="664" spans="1:21" s="59" customFormat="1" ht="15.75">
      <c r="A664" s="769" t="s">
        <v>645</v>
      </c>
      <c r="B664" s="656" t="s">
        <v>646</v>
      </c>
      <c r="C664" s="404"/>
      <c r="D664" s="641" t="s">
        <v>890</v>
      </c>
      <c r="E664" s="405"/>
      <c r="F664" s="692"/>
      <c r="G664" s="692"/>
      <c r="H664" s="692"/>
      <c r="I664" s="688"/>
      <c r="J664" s="688"/>
      <c r="K664" s="688"/>
      <c r="L664" s="688"/>
      <c r="M664" s="688"/>
      <c r="N664" s="688"/>
      <c r="O664" s="688"/>
      <c r="P664" s="688"/>
      <c r="Q664" s="688">
        <f>0.05*$Q$656</f>
        <v>17.3</v>
      </c>
      <c r="R664" s="688">
        <f>0.05*$R$656</f>
        <v>17.3</v>
      </c>
      <c r="S664" s="689"/>
      <c r="T664" s="689"/>
      <c r="U664" s="454"/>
    </row>
    <row r="665" spans="1:21" s="59" customFormat="1" ht="15.75">
      <c r="A665" s="769" t="s">
        <v>647</v>
      </c>
      <c r="B665" s="656" t="s">
        <v>150</v>
      </c>
      <c r="C665" s="404"/>
      <c r="D665" s="641" t="s">
        <v>890</v>
      </c>
      <c r="E665" s="405"/>
      <c r="F665" s="692">
        <f>0.1*F656</f>
        <v>32.700000000000003</v>
      </c>
      <c r="G665" s="692">
        <f>0.1*G656</f>
        <v>17.3</v>
      </c>
      <c r="H665" s="692"/>
      <c r="I665" s="688"/>
      <c r="J665" s="688"/>
      <c r="K665" s="688"/>
      <c r="L665" s="688"/>
      <c r="M665" s="688"/>
      <c r="N665" s="688"/>
      <c r="O665" s="688"/>
      <c r="P665" s="688"/>
      <c r="Q665" s="688">
        <f>0.05*$Q$656</f>
        <v>17.3</v>
      </c>
      <c r="R665" s="688">
        <f>0.05*$R$656</f>
        <v>17.3</v>
      </c>
      <c r="S665" s="689"/>
      <c r="T665" s="689"/>
      <c r="U665" s="454"/>
    </row>
    <row r="666" spans="1:21" s="284" customFormat="1" ht="15.75">
      <c r="A666" s="769"/>
      <c r="B666" s="656"/>
      <c r="C666" s="404"/>
      <c r="D666" s="641"/>
      <c r="E666" s="405"/>
      <c r="F666" s="664">
        <f t="shared" ref="F666:U666" si="313">F656-SUM(F657:F665)</f>
        <v>0</v>
      </c>
      <c r="G666" s="664">
        <f t="shared" si="313"/>
        <v>0</v>
      </c>
      <c r="H666" s="664">
        <f t="shared" si="313"/>
        <v>0</v>
      </c>
      <c r="I666" s="664">
        <f t="shared" si="313"/>
        <v>0</v>
      </c>
      <c r="J666" s="664">
        <f t="shared" si="313"/>
        <v>0</v>
      </c>
      <c r="K666" s="664">
        <f t="shared" si="313"/>
        <v>0</v>
      </c>
      <c r="L666" s="664">
        <f t="shared" si="313"/>
        <v>0</v>
      </c>
      <c r="M666" s="664">
        <f t="shared" si="313"/>
        <v>0</v>
      </c>
      <c r="N666" s="664">
        <f t="shared" si="313"/>
        <v>0</v>
      </c>
      <c r="O666" s="664">
        <f t="shared" si="313"/>
        <v>0</v>
      </c>
      <c r="P666" s="664"/>
      <c r="Q666" s="664">
        <f t="shared" si="313"/>
        <v>0</v>
      </c>
      <c r="R666" s="664">
        <f>R656-SUM(R657:R665)</f>
        <v>0</v>
      </c>
      <c r="S666" s="664">
        <f t="shared" si="313"/>
        <v>0</v>
      </c>
      <c r="T666" s="664">
        <f t="shared" si="313"/>
        <v>0</v>
      </c>
      <c r="U666" s="664">
        <f t="shared" si="313"/>
        <v>0</v>
      </c>
    </row>
    <row r="667" spans="1:21" s="318" customFormat="1" ht="15.75">
      <c r="A667" s="769"/>
      <c r="B667" s="656"/>
      <c r="C667" s="404"/>
      <c r="D667" s="641"/>
      <c r="E667" s="405"/>
      <c r="F667" s="690"/>
      <c r="G667" s="679"/>
      <c r="H667" s="679"/>
      <c r="I667" s="679"/>
      <c r="J667" s="679"/>
      <c r="K667" s="679"/>
      <c r="L667" s="679"/>
      <c r="M667" s="679"/>
      <c r="N667" s="679"/>
      <c r="O667" s="679"/>
      <c r="P667" s="679"/>
      <c r="Q667" s="679"/>
      <c r="R667" s="679"/>
      <c r="S667" s="442"/>
      <c r="T667" s="442"/>
      <c r="U667" s="343"/>
    </row>
    <row r="668" spans="1:21" s="288" customFormat="1" ht="31.5">
      <c r="A668" s="477" t="s">
        <v>648</v>
      </c>
      <c r="B668" s="660" t="s">
        <v>391</v>
      </c>
      <c r="C668" s="339"/>
      <c r="D668" s="398"/>
      <c r="E668" s="341"/>
      <c r="F668" s="666">
        <f>TRUNC(0.135*F$583)</f>
        <v>353</v>
      </c>
      <c r="G668" s="666">
        <f>TRUNC(0.16*G$583)</f>
        <v>184</v>
      </c>
      <c r="H668" s="668">
        <f>TRUNC(0.01*H$583)</f>
        <v>11</v>
      </c>
      <c r="I668" s="668"/>
      <c r="J668" s="668"/>
      <c r="K668" s="668">
        <f>TRUNC(0.01*K$583)</f>
        <v>11</v>
      </c>
      <c r="L668" s="666"/>
      <c r="M668" s="666"/>
      <c r="N668" s="666"/>
      <c r="O668" s="666"/>
      <c r="P668" s="666"/>
      <c r="Q668" s="668">
        <f>TRUNC(0.059*Q$583)</f>
        <v>204</v>
      </c>
      <c r="R668" s="668">
        <f>TRUNC(0.06*R$583)</f>
        <v>207</v>
      </c>
      <c r="S668" s="400">
        <v>0</v>
      </c>
      <c r="T668" s="400">
        <v>0</v>
      </c>
      <c r="U668" s="328">
        <v>0</v>
      </c>
    </row>
    <row r="669" spans="1:21" s="318" customFormat="1" ht="15.75">
      <c r="A669" s="769" t="s">
        <v>650</v>
      </c>
      <c r="B669" s="658" t="s">
        <v>326</v>
      </c>
      <c r="C669" s="404"/>
      <c r="D669" s="641" t="s">
        <v>890</v>
      </c>
      <c r="E669" s="239"/>
      <c r="F669" s="692">
        <f>0.15*$F$668</f>
        <v>52.949999999999996</v>
      </c>
      <c r="G669" s="692">
        <f>0.15*$G$668</f>
        <v>27.599999999999998</v>
      </c>
      <c r="H669" s="692"/>
      <c r="I669" s="688"/>
      <c r="J669" s="688"/>
      <c r="K669" s="688"/>
      <c r="L669" s="688"/>
      <c r="M669" s="688"/>
      <c r="N669" s="688"/>
      <c r="O669" s="688"/>
      <c r="P669" s="688"/>
      <c r="Q669" s="688">
        <f>0.1*$Q$668</f>
        <v>20.400000000000002</v>
      </c>
      <c r="R669" s="688">
        <f>0.1*$R$668</f>
        <v>20.700000000000003</v>
      </c>
      <c r="S669" s="689"/>
      <c r="T669" s="689"/>
      <c r="U669" s="454"/>
    </row>
    <row r="670" spans="1:21" s="318" customFormat="1" ht="15.75">
      <c r="A670" s="769" t="s">
        <v>651</v>
      </c>
      <c r="B670" s="658" t="s">
        <v>135</v>
      </c>
      <c r="C670" s="404"/>
      <c r="D670" s="641" t="s">
        <v>890</v>
      </c>
      <c r="E670" s="405"/>
      <c r="F670" s="692">
        <f>0.15*$F$668</f>
        <v>52.949999999999996</v>
      </c>
      <c r="G670" s="692">
        <f>0.15*$G$668</f>
        <v>27.599999999999998</v>
      </c>
      <c r="H670" s="692">
        <f>0.5*$H$668</f>
        <v>5.5</v>
      </c>
      <c r="I670" s="688"/>
      <c r="J670" s="688"/>
      <c r="K670" s="688"/>
      <c r="L670" s="688"/>
      <c r="M670" s="688"/>
      <c r="N670" s="688"/>
      <c r="O670" s="688"/>
      <c r="P670" s="688"/>
      <c r="Q670" s="688">
        <f t="shared" ref="Q670:Q675" si="314">0.1*$Q$668</f>
        <v>20.400000000000002</v>
      </c>
      <c r="R670" s="688">
        <f t="shared" ref="R670:R677" si="315">0.1*$R$668</f>
        <v>20.700000000000003</v>
      </c>
      <c r="S670" s="689"/>
      <c r="T670" s="689"/>
      <c r="U670" s="454"/>
    </row>
    <row r="671" spans="1:21" s="318" customFormat="1" ht="15.75">
      <c r="A671" s="769" t="s">
        <v>652</v>
      </c>
      <c r="B671" s="658" t="s">
        <v>137</v>
      </c>
      <c r="C671" s="404"/>
      <c r="D671" s="641" t="s">
        <v>890</v>
      </c>
      <c r="E671" s="405"/>
      <c r="F671" s="692">
        <f>0.15*$F$668</f>
        <v>52.949999999999996</v>
      </c>
      <c r="G671" s="692">
        <f>0.15*$G$668</f>
        <v>27.599999999999998</v>
      </c>
      <c r="H671" s="692">
        <f>0.5*$H$668</f>
        <v>5.5</v>
      </c>
      <c r="I671" s="688"/>
      <c r="J671" s="688"/>
      <c r="K671" s="688"/>
      <c r="L671" s="688"/>
      <c r="M671" s="688"/>
      <c r="N671" s="688"/>
      <c r="O671" s="688"/>
      <c r="P671" s="688"/>
      <c r="Q671" s="688">
        <f t="shared" si="314"/>
        <v>20.400000000000002</v>
      </c>
      <c r="R671" s="688">
        <f t="shared" si="315"/>
        <v>20.700000000000003</v>
      </c>
      <c r="S671" s="689"/>
      <c r="T671" s="689"/>
      <c r="U671" s="454"/>
    </row>
    <row r="672" spans="1:21" s="318" customFormat="1" ht="15.75">
      <c r="A672" s="769" t="s">
        <v>653</v>
      </c>
      <c r="B672" s="656" t="s">
        <v>105</v>
      </c>
      <c r="C672" s="404"/>
      <c r="D672" s="641" t="s">
        <v>890</v>
      </c>
      <c r="E672" s="405"/>
      <c r="F672" s="692">
        <f>0.1*$F$668</f>
        <v>35.300000000000004</v>
      </c>
      <c r="G672" s="692">
        <f>0.15*$G$668</f>
        <v>27.599999999999998</v>
      </c>
      <c r="H672" s="692"/>
      <c r="I672" s="688"/>
      <c r="J672" s="688"/>
      <c r="K672" s="688">
        <f>0.5*$K$668</f>
        <v>5.5</v>
      </c>
      <c r="L672" s="688"/>
      <c r="M672" s="688"/>
      <c r="N672" s="688"/>
      <c r="O672" s="688"/>
      <c r="P672" s="688"/>
      <c r="Q672" s="688">
        <f>0.2*$Q$668</f>
        <v>40.800000000000004</v>
      </c>
      <c r="R672" s="688">
        <f>0.2*$R$668</f>
        <v>41.400000000000006</v>
      </c>
      <c r="S672" s="689"/>
      <c r="T672" s="689"/>
      <c r="U672" s="454"/>
    </row>
    <row r="673" spans="1:21" s="318" customFormat="1" ht="15.75">
      <c r="A673" s="769" t="s">
        <v>654</v>
      </c>
      <c r="B673" s="656" t="s">
        <v>595</v>
      </c>
      <c r="C673" s="404"/>
      <c r="D673" s="641" t="s">
        <v>890</v>
      </c>
      <c r="E673" s="405"/>
      <c r="F673" s="692">
        <f>0.15*$F$668</f>
        <v>52.949999999999996</v>
      </c>
      <c r="G673" s="692">
        <f>0.1*$G$668</f>
        <v>18.400000000000002</v>
      </c>
      <c r="H673" s="692"/>
      <c r="I673" s="688"/>
      <c r="J673" s="688"/>
      <c r="K673" s="688">
        <f>0.5*$K$668</f>
        <v>5.5</v>
      </c>
      <c r="L673" s="688"/>
      <c r="M673" s="688"/>
      <c r="N673" s="688"/>
      <c r="O673" s="688"/>
      <c r="P673" s="688"/>
      <c r="Q673" s="688">
        <f>0.15*$Q$668</f>
        <v>30.599999999999998</v>
      </c>
      <c r="R673" s="688">
        <f>0.15*$R$668</f>
        <v>31.049999999999997</v>
      </c>
      <c r="S673" s="689"/>
      <c r="T673" s="689"/>
      <c r="U673" s="454"/>
    </row>
    <row r="674" spans="1:21" s="318" customFormat="1" ht="15.75">
      <c r="A674" s="769" t="s">
        <v>655</v>
      </c>
      <c r="B674" s="656" t="s">
        <v>386</v>
      </c>
      <c r="C674" s="404"/>
      <c r="D674" s="641" t="s">
        <v>890</v>
      </c>
      <c r="E674" s="405"/>
      <c r="F674" s="692">
        <f>0.1*$F$668</f>
        <v>35.300000000000004</v>
      </c>
      <c r="G674" s="692">
        <f>0.1*$G$668</f>
        <v>18.400000000000002</v>
      </c>
      <c r="H674" s="692"/>
      <c r="I674" s="688"/>
      <c r="J674" s="688"/>
      <c r="K674" s="688"/>
      <c r="L674" s="688"/>
      <c r="M674" s="688"/>
      <c r="N674" s="688"/>
      <c r="O674" s="688"/>
      <c r="P674" s="688"/>
      <c r="Q674" s="688">
        <f t="shared" si="314"/>
        <v>20.400000000000002</v>
      </c>
      <c r="R674" s="688">
        <f t="shared" si="315"/>
        <v>20.700000000000003</v>
      </c>
      <c r="S674" s="689"/>
      <c r="T674" s="689"/>
      <c r="U674" s="454"/>
    </row>
    <row r="675" spans="1:21" s="318" customFormat="1" ht="15.75">
      <c r="A675" s="769" t="s">
        <v>656</v>
      </c>
      <c r="B675" s="656" t="s">
        <v>388</v>
      </c>
      <c r="C675" s="404"/>
      <c r="D675" s="641" t="s">
        <v>890</v>
      </c>
      <c r="E675" s="405"/>
      <c r="F675" s="692">
        <f>0.1*$F$668</f>
        <v>35.300000000000004</v>
      </c>
      <c r="G675" s="692">
        <f>0.1*$G$668</f>
        <v>18.400000000000002</v>
      </c>
      <c r="H675" s="692"/>
      <c r="I675" s="688"/>
      <c r="J675" s="688"/>
      <c r="K675" s="688"/>
      <c r="L675" s="688"/>
      <c r="M675" s="688"/>
      <c r="N675" s="688"/>
      <c r="O675" s="688"/>
      <c r="P675" s="688"/>
      <c r="Q675" s="688">
        <f t="shared" si="314"/>
        <v>20.400000000000002</v>
      </c>
      <c r="R675" s="688">
        <f t="shared" si="315"/>
        <v>20.700000000000003</v>
      </c>
      <c r="S675" s="689"/>
      <c r="T675" s="689"/>
      <c r="U675" s="454"/>
    </row>
    <row r="676" spans="1:21" s="318" customFormat="1" ht="15.75">
      <c r="A676" s="769" t="s">
        <v>657</v>
      </c>
      <c r="B676" s="656" t="s">
        <v>646</v>
      </c>
      <c r="C676" s="404"/>
      <c r="D676" s="641" t="s">
        <v>890</v>
      </c>
      <c r="E676" s="405"/>
      <c r="F676" s="692"/>
      <c r="G676" s="692"/>
      <c r="H676" s="692"/>
      <c r="I676" s="688"/>
      <c r="J676" s="688"/>
      <c r="K676" s="688"/>
      <c r="L676" s="688"/>
      <c r="M676" s="688"/>
      <c r="N676" s="688"/>
      <c r="O676" s="688"/>
      <c r="P676" s="688"/>
      <c r="Q676" s="688">
        <f>0.05*$Q$668</f>
        <v>10.200000000000001</v>
      </c>
      <c r="R676" s="688">
        <f>0.05*$R$668</f>
        <v>10.350000000000001</v>
      </c>
      <c r="S676" s="689"/>
      <c r="T676" s="689"/>
      <c r="U676" s="454"/>
    </row>
    <row r="677" spans="1:21" s="318" customFormat="1" ht="15.75">
      <c r="A677" s="769" t="s">
        <v>658</v>
      </c>
      <c r="B677" s="656" t="s">
        <v>150</v>
      </c>
      <c r="C677" s="404"/>
      <c r="D677" s="641" t="s">
        <v>890</v>
      </c>
      <c r="E677" s="405"/>
      <c r="F677" s="692">
        <f>0.1*$F$668</f>
        <v>35.300000000000004</v>
      </c>
      <c r="G677" s="692">
        <f>0.1*$G$668</f>
        <v>18.400000000000002</v>
      </c>
      <c r="H677" s="692"/>
      <c r="I677" s="688"/>
      <c r="J677" s="688"/>
      <c r="K677" s="688"/>
      <c r="L677" s="688"/>
      <c r="M677" s="688"/>
      <c r="N677" s="688"/>
      <c r="O677" s="688"/>
      <c r="P677" s="688"/>
      <c r="Q677" s="688">
        <f>0.1*$Q$668</f>
        <v>20.400000000000002</v>
      </c>
      <c r="R677" s="688">
        <f t="shared" si="315"/>
        <v>20.700000000000003</v>
      </c>
      <c r="S677" s="689"/>
      <c r="T677" s="689"/>
      <c r="U677" s="454"/>
    </row>
    <row r="678" spans="1:21" s="318" customFormat="1" ht="15.75">
      <c r="A678" s="769"/>
      <c r="B678" s="656"/>
      <c r="C678" s="404"/>
      <c r="D678" s="641"/>
      <c r="E678" s="405"/>
      <c r="F678" s="664">
        <f t="shared" ref="F678:U678" si="316">F668-SUM(F669:F677)</f>
        <v>0</v>
      </c>
      <c r="G678" s="664">
        <f t="shared" si="316"/>
        <v>0</v>
      </c>
      <c r="H678" s="664">
        <f t="shared" si="316"/>
        <v>0</v>
      </c>
      <c r="I678" s="664">
        <f t="shared" si="316"/>
        <v>0</v>
      </c>
      <c r="J678" s="664">
        <f t="shared" si="316"/>
        <v>0</v>
      </c>
      <c r="K678" s="664"/>
      <c r="L678" s="664">
        <f t="shared" si="316"/>
        <v>0</v>
      </c>
      <c r="M678" s="664">
        <f t="shared" si="316"/>
        <v>0</v>
      </c>
      <c r="N678" s="664">
        <f t="shared" si="316"/>
        <v>0</v>
      </c>
      <c r="O678" s="664">
        <f t="shared" si="316"/>
        <v>0</v>
      </c>
      <c r="P678" s="664"/>
      <c r="Q678" s="664">
        <f t="shared" si="316"/>
        <v>0</v>
      </c>
      <c r="R678" s="664">
        <f t="shared" si="316"/>
        <v>0</v>
      </c>
      <c r="S678" s="664">
        <f t="shared" si="316"/>
        <v>0</v>
      </c>
      <c r="T678" s="664">
        <f t="shared" si="316"/>
        <v>0</v>
      </c>
      <c r="U678" s="664">
        <f t="shared" si="316"/>
        <v>0</v>
      </c>
    </row>
    <row r="679" spans="1:21" s="318" customFormat="1" ht="15.75">
      <c r="A679" s="769"/>
      <c r="B679" s="656"/>
      <c r="C679" s="404"/>
      <c r="D679" s="641"/>
      <c r="E679" s="405"/>
      <c r="F679" s="690"/>
      <c r="G679" s="679"/>
      <c r="H679" s="679"/>
      <c r="I679" s="679"/>
      <c r="J679" s="679"/>
      <c r="K679" s="679"/>
      <c r="L679" s="679"/>
      <c r="M679" s="679"/>
      <c r="N679" s="679"/>
      <c r="O679" s="679"/>
      <c r="P679" s="679"/>
      <c r="Q679" s="679"/>
      <c r="R679" s="679"/>
      <c r="S679" s="442"/>
      <c r="T679" s="442"/>
      <c r="U679" s="343"/>
    </row>
    <row r="680" spans="1:21" s="288" customFormat="1" ht="15.75">
      <c r="A680" s="417" t="s">
        <v>659</v>
      </c>
      <c r="B680" s="693" t="s">
        <v>159</v>
      </c>
      <c r="C680" s="427"/>
      <c r="D680" s="398"/>
      <c r="E680" s="399"/>
      <c r="F680" s="666">
        <f>TRUNC(0.07*F583)</f>
        <v>183</v>
      </c>
      <c r="G680" s="666">
        <f>TRUNC(0.05*G583)</f>
        <v>57</v>
      </c>
      <c r="H680" s="668">
        <f>TRUNC(0.01*H583)</f>
        <v>11</v>
      </c>
      <c r="I680" s="668"/>
      <c r="J680" s="668"/>
      <c r="K680" s="668">
        <f>TRUNC(0.01*K583)</f>
        <v>11</v>
      </c>
      <c r="L680" s="666"/>
      <c r="M680" s="666"/>
      <c r="N680" s="666"/>
      <c r="O680" s="666"/>
      <c r="P680" s="666"/>
      <c r="Q680" s="668">
        <f>TRUNC(0.02*Q583)</f>
        <v>69</v>
      </c>
      <c r="R680" s="668">
        <f>TRUNC(0.02*R583)</f>
        <v>69</v>
      </c>
      <c r="S680" s="400">
        <v>0</v>
      </c>
      <c r="T680" s="400">
        <v>0</v>
      </c>
      <c r="U680" s="400">
        <v>0</v>
      </c>
    </row>
    <row r="681" spans="1:21" s="59" customFormat="1" ht="15.75">
      <c r="A681" s="769" t="s">
        <v>660</v>
      </c>
      <c r="B681" s="658" t="s">
        <v>326</v>
      </c>
      <c r="C681" s="404"/>
      <c r="D681" s="641" t="s">
        <v>890</v>
      </c>
      <c r="E681" s="405"/>
      <c r="F681" s="692">
        <f>0.15*$F$680</f>
        <v>27.45</v>
      </c>
      <c r="G681" s="692">
        <f>0.2*$G$680</f>
        <v>11.4</v>
      </c>
      <c r="H681" s="692"/>
      <c r="I681" s="688"/>
      <c r="J681" s="688"/>
      <c r="K681" s="688"/>
      <c r="L681" s="688"/>
      <c r="M681" s="688"/>
      <c r="N681" s="688"/>
      <c r="O681" s="688"/>
      <c r="P681" s="688"/>
      <c r="Q681" s="688">
        <f>0.15*$Q$680</f>
        <v>10.35</v>
      </c>
      <c r="R681" s="688">
        <f>0.15*$R$680</f>
        <v>10.35</v>
      </c>
      <c r="S681" s="689"/>
      <c r="T681" s="689"/>
      <c r="U681" s="454"/>
    </row>
    <row r="682" spans="1:21" s="59" customFormat="1" ht="15.75">
      <c r="A682" s="769" t="s">
        <v>661</v>
      </c>
      <c r="B682" s="658" t="s">
        <v>135</v>
      </c>
      <c r="C682" s="404"/>
      <c r="D682" s="641" t="s">
        <v>890</v>
      </c>
      <c r="E682" s="405"/>
      <c r="F682" s="692">
        <f>0.15*$F$680</f>
        <v>27.45</v>
      </c>
      <c r="G682" s="692">
        <f>0.2*$G$680</f>
        <v>11.4</v>
      </c>
      <c r="H682" s="692">
        <f>0.5*$H$680</f>
        <v>5.5</v>
      </c>
      <c r="I682" s="688"/>
      <c r="J682" s="688"/>
      <c r="K682" s="688"/>
      <c r="L682" s="688"/>
      <c r="M682" s="688"/>
      <c r="N682" s="688"/>
      <c r="O682" s="688"/>
      <c r="P682" s="688"/>
      <c r="Q682" s="688">
        <f t="shared" ref="Q682:Q687" si="317">0.15*$Q$680</f>
        <v>10.35</v>
      </c>
      <c r="R682" s="688">
        <f>0.15*$R$680</f>
        <v>10.35</v>
      </c>
      <c r="S682" s="689"/>
      <c r="T682" s="689"/>
      <c r="U682" s="454"/>
    </row>
    <row r="683" spans="1:21" s="59" customFormat="1" ht="15.75">
      <c r="A683" s="769" t="s">
        <v>662</v>
      </c>
      <c r="B683" s="658" t="s">
        <v>137</v>
      </c>
      <c r="C683" s="404"/>
      <c r="D683" s="641" t="s">
        <v>890</v>
      </c>
      <c r="E683" s="405"/>
      <c r="F683" s="692">
        <f>0.15*$F$680</f>
        <v>27.45</v>
      </c>
      <c r="G683" s="692">
        <f>0.15*$G$680</f>
        <v>8.5499999999999989</v>
      </c>
      <c r="H683" s="692">
        <f>0.5*$H$680</f>
        <v>5.5</v>
      </c>
      <c r="I683" s="688"/>
      <c r="J683" s="688"/>
      <c r="K683" s="688"/>
      <c r="L683" s="688"/>
      <c r="M683" s="688"/>
      <c r="N683" s="688"/>
      <c r="O683" s="688"/>
      <c r="P683" s="688"/>
      <c r="Q683" s="688">
        <f t="shared" si="317"/>
        <v>10.35</v>
      </c>
      <c r="R683" s="688">
        <f>0.15*$R$680</f>
        <v>10.35</v>
      </c>
      <c r="S683" s="689"/>
      <c r="T683" s="689"/>
      <c r="U683" s="454"/>
    </row>
    <row r="684" spans="1:21" s="59" customFormat="1" ht="15.75">
      <c r="A684" s="769" t="s">
        <v>663</v>
      </c>
      <c r="B684" s="656" t="s">
        <v>105</v>
      </c>
      <c r="C684" s="404"/>
      <c r="D684" s="641" t="s">
        <v>890</v>
      </c>
      <c r="E684" s="405"/>
      <c r="F684" s="692">
        <f>0.2*$F$680</f>
        <v>36.6</v>
      </c>
      <c r="G684" s="692">
        <f>0.15*$G$680</f>
        <v>8.5499999999999989</v>
      </c>
      <c r="H684" s="692"/>
      <c r="I684" s="688"/>
      <c r="J684" s="688"/>
      <c r="K684" s="688">
        <f>0.5*$K$680</f>
        <v>5.5</v>
      </c>
      <c r="L684" s="688"/>
      <c r="M684" s="688"/>
      <c r="N684" s="688"/>
      <c r="O684" s="688"/>
      <c r="P684" s="688"/>
      <c r="Q684" s="688">
        <f t="shared" si="317"/>
        <v>10.35</v>
      </c>
      <c r="R684" s="688">
        <f>0.15*$R$680</f>
        <v>10.35</v>
      </c>
      <c r="S684" s="689"/>
      <c r="T684" s="689"/>
      <c r="U684" s="454"/>
    </row>
    <row r="685" spans="1:21" s="59" customFormat="1" ht="15.75">
      <c r="A685" s="769" t="s">
        <v>664</v>
      </c>
      <c r="B685" s="656" t="s">
        <v>595</v>
      </c>
      <c r="C685" s="404"/>
      <c r="D685" s="641" t="s">
        <v>890</v>
      </c>
      <c r="E685" s="405"/>
      <c r="F685" s="692">
        <f>0.2*$F$680</f>
        <v>36.6</v>
      </c>
      <c r="G685" s="692">
        <f>0.15*$G$680</f>
        <v>8.5499999999999989</v>
      </c>
      <c r="H685" s="692"/>
      <c r="I685" s="688"/>
      <c r="J685" s="688"/>
      <c r="K685" s="688">
        <f>0.5*$K$680</f>
        <v>5.5</v>
      </c>
      <c r="L685" s="688"/>
      <c r="M685" s="688"/>
      <c r="N685" s="688"/>
      <c r="O685" s="688"/>
      <c r="P685" s="688"/>
      <c r="Q685" s="688">
        <f t="shared" si="317"/>
        <v>10.35</v>
      </c>
      <c r="R685" s="688">
        <f>0.15*$R$680</f>
        <v>10.35</v>
      </c>
      <c r="S685" s="689"/>
      <c r="T685" s="689"/>
      <c r="U685" s="454"/>
    </row>
    <row r="686" spans="1:21" s="59" customFormat="1" ht="15.75">
      <c r="A686" s="769" t="s">
        <v>665</v>
      </c>
      <c r="B686" s="656" t="s">
        <v>597</v>
      </c>
      <c r="C686" s="404"/>
      <c r="D686" s="641" t="s">
        <v>890</v>
      </c>
      <c r="E686" s="405"/>
      <c r="F686" s="692"/>
      <c r="G686" s="692"/>
      <c r="H686" s="692"/>
      <c r="I686" s="688"/>
      <c r="J686" s="688"/>
      <c r="K686" s="688"/>
      <c r="L686" s="688"/>
      <c r="M686" s="688"/>
      <c r="N686" s="688"/>
      <c r="O686" s="688"/>
      <c r="P686" s="688"/>
      <c r="Q686" s="688">
        <f>0.1*$Q$680</f>
        <v>6.9</v>
      </c>
      <c r="R686" s="688">
        <f>0.1*$R$680</f>
        <v>6.9</v>
      </c>
      <c r="S686" s="689"/>
      <c r="T686" s="689"/>
      <c r="U686" s="454"/>
    </row>
    <row r="687" spans="1:21" s="59" customFormat="1" ht="15.75">
      <c r="A687" s="769" t="s">
        <v>666</v>
      </c>
      <c r="B687" s="656" t="s">
        <v>150</v>
      </c>
      <c r="C687" s="404"/>
      <c r="D687" s="641" t="s">
        <v>890</v>
      </c>
      <c r="E687" s="405"/>
      <c r="F687" s="692">
        <f>0.15*$F$680</f>
        <v>27.45</v>
      </c>
      <c r="G687" s="692">
        <f>0.15*$G$680</f>
        <v>8.5499999999999989</v>
      </c>
      <c r="H687" s="692"/>
      <c r="I687" s="688"/>
      <c r="J687" s="688"/>
      <c r="K687" s="688"/>
      <c r="L687" s="688"/>
      <c r="M687" s="688"/>
      <c r="N687" s="688"/>
      <c r="O687" s="688"/>
      <c r="P687" s="688"/>
      <c r="Q687" s="688">
        <f t="shared" si="317"/>
        <v>10.35</v>
      </c>
      <c r="R687" s="688">
        <f>0.15*$R$680</f>
        <v>10.35</v>
      </c>
      <c r="S687" s="689"/>
      <c r="T687" s="689"/>
      <c r="U687" s="454"/>
    </row>
    <row r="688" spans="1:21" s="284" customFormat="1" ht="15.75">
      <c r="A688" s="769"/>
      <c r="B688" s="656"/>
      <c r="C688" s="404"/>
      <c r="D688" s="641"/>
      <c r="E688" s="405"/>
      <c r="F688" s="664">
        <f t="shared" ref="F688:U688" si="318">F680-SUM(F681:F687)</f>
        <v>0</v>
      </c>
      <c r="G688" s="664">
        <f t="shared" si="318"/>
        <v>0</v>
      </c>
      <c r="H688" s="664">
        <f t="shared" si="318"/>
        <v>0</v>
      </c>
      <c r="I688" s="664">
        <f t="shared" si="318"/>
        <v>0</v>
      </c>
      <c r="J688" s="664">
        <f t="shared" si="318"/>
        <v>0</v>
      </c>
      <c r="K688" s="664">
        <f>K680-SUM(K681:K687)</f>
        <v>0</v>
      </c>
      <c r="L688" s="664">
        <f t="shared" si="318"/>
        <v>0</v>
      </c>
      <c r="M688" s="664">
        <f t="shared" si="318"/>
        <v>0</v>
      </c>
      <c r="N688" s="664">
        <f t="shared" si="318"/>
        <v>0</v>
      </c>
      <c r="O688" s="664">
        <f t="shared" si="318"/>
        <v>0</v>
      </c>
      <c r="P688" s="664"/>
      <c r="Q688" s="664">
        <f t="shared" si="318"/>
        <v>0</v>
      </c>
      <c r="R688" s="664">
        <f t="shared" si="318"/>
        <v>0</v>
      </c>
      <c r="S688" s="664">
        <f t="shared" si="318"/>
        <v>0</v>
      </c>
      <c r="T688" s="664">
        <f t="shared" si="318"/>
        <v>0</v>
      </c>
      <c r="U688" s="664">
        <f t="shared" si="318"/>
        <v>0</v>
      </c>
    </row>
    <row r="689" spans="1:21" s="59" customFormat="1" ht="15.75">
      <c r="A689" s="90"/>
      <c r="B689" s="656"/>
      <c r="C689" s="404"/>
      <c r="D689" s="641"/>
      <c r="E689" s="405"/>
      <c r="F689" s="690"/>
      <c r="G689" s="679"/>
      <c r="H689" s="679"/>
      <c r="I689" s="679"/>
      <c r="J689" s="679"/>
      <c r="K689" s="679"/>
      <c r="L689" s="679"/>
      <c r="M689" s="679"/>
      <c r="N689" s="679"/>
      <c r="O689" s="679"/>
      <c r="P689" s="679"/>
      <c r="Q689" s="679"/>
      <c r="R689" s="679"/>
      <c r="S689" s="442"/>
      <c r="T689" s="442"/>
      <c r="U689" s="454"/>
    </row>
    <row r="690" spans="1:21" s="288" customFormat="1" ht="15.75">
      <c r="A690" s="417" t="s">
        <v>667</v>
      </c>
      <c r="B690" s="693" t="s">
        <v>164</v>
      </c>
      <c r="C690" s="427"/>
      <c r="D690" s="398"/>
      <c r="E690" s="399"/>
      <c r="F690" s="666"/>
      <c r="G690" s="666"/>
      <c r="H690" s="668">
        <f>TRUNC(0.073*H583)</f>
        <v>84</v>
      </c>
      <c r="I690" s="666"/>
      <c r="J690" s="668"/>
      <c r="K690" s="668">
        <f>TRUNC(0.073*K583)</f>
        <v>84</v>
      </c>
      <c r="L690" s="668">
        <f>TRUNC(0.15*L583)</f>
        <v>346</v>
      </c>
      <c r="M690" s="668">
        <f>TRUNC(0.1*M583)</f>
        <v>115</v>
      </c>
      <c r="N690" s="666"/>
      <c r="O690" s="666"/>
      <c r="P690" s="666"/>
      <c r="Q690" s="668">
        <f>TRUNC(0.02*Q583)</f>
        <v>69</v>
      </c>
      <c r="R690" s="668">
        <f>TRUNC(0.02*R583)</f>
        <v>69</v>
      </c>
      <c r="S690" s="400">
        <v>0</v>
      </c>
      <c r="T690" s="400">
        <v>0</v>
      </c>
      <c r="U690" s="400">
        <v>0</v>
      </c>
    </row>
    <row r="691" spans="1:21" s="59" customFormat="1" ht="15.75">
      <c r="A691" s="769" t="s">
        <v>668</v>
      </c>
      <c r="B691" s="658" t="s">
        <v>112</v>
      </c>
      <c r="C691" s="404"/>
      <c r="D691" s="641" t="s">
        <v>890</v>
      </c>
      <c r="E691" s="405"/>
      <c r="F691" s="692"/>
      <c r="G691" s="688"/>
      <c r="H691" s="688">
        <f>0.2*$H$690</f>
        <v>16.8</v>
      </c>
      <c r="I691" s="688"/>
      <c r="J691" s="688"/>
      <c r="K691" s="688"/>
      <c r="L691" s="688">
        <f>0.1*$L$690</f>
        <v>34.6</v>
      </c>
      <c r="M691" s="688">
        <f>0.1*$M$690</f>
        <v>11.5</v>
      </c>
      <c r="N691" s="688"/>
      <c r="O691" s="688"/>
      <c r="P691" s="688"/>
      <c r="Q691" s="688"/>
      <c r="R691" s="688"/>
      <c r="S691" s="689"/>
      <c r="T691" s="689"/>
      <c r="U691" s="454"/>
    </row>
    <row r="692" spans="1:21" s="59" customFormat="1" ht="15.75">
      <c r="A692" s="769" t="s">
        <v>669</v>
      </c>
      <c r="B692" s="658" t="s">
        <v>670</v>
      </c>
      <c r="C692" s="404"/>
      <c r="D692" s="641" t="s">
        <v>890</v>
      </c>
      <c r="E692" s="405"/>
      <c r="F692" s="692"/>
      <c r="G692" s="688"/>
      <c r="H692" s="688"/>
      <c r="I692" s="688"/>
      <c r="J692" s="688"/>
      <c r="K692" s="688"/>
      <c r="L692" s="688">
        <f t="shared" ref="L692:L697" si="319">0.1*$L$690</f>
        <v>34.6</v>
      </c>
      <c r="M692" s="688">
        <f>0.1*$M$690</f>
        <v>11.5</v>
      </c>
      <c r="N692" s="688"/>
      <c r="O692" s="688"/>
      <c r="P692" s="688"/>
      <c r="Q692" s="688"/>
      <c r="R692" s="688"/>
      <c r="S692" s="689"/>
      <c r="T692" s="689"/>
      <c r="U692" s="454"/>
    </row>
    <row r="693" spans="1:21" s="59" customFormat="1" ht="15.75">
      <c r="A693" s="769" t="s">
        <v>671</v>
      </c>
      <c r="B693" s="658" t="s">
        <v>173</v>
      </c>
      <c r="C693" s="404"/>
      <c r="D693" s="641" t="s">
        <v>890</v>
      </c>
      <c r="E693" s="405"/>
      <c r="F693" s="692"/>
      <c r="G693" s="688"/>
      <c r="H693" s="688">
        <f t="shared" ref="H693:H696" si="320">0.2*$H$690</f>
        <v>16.8</v>
      </c>
      <c r="I693" s="688"/>
      <c r="J693" s="688"/>
      <c r="K693" s="688">
        <f t="shared" ref="K693:K697" si="321">0.2*$K$690</f>
        <v>16.8</v>
      </c>
      <c r="L693" s="688">
        <f>0.2*$L$690</f>
        <v>69.2</v>
      </c>
      <c r="M693" s="688">
        <f>0.15*$M$690</f>
        <v>17.25</v>
      </c>
      <c r="N693" s="688"/>
      <c r="O693" s="688"/>
      <c r="P693" s="688"/>
      <c r="Q693" s="688">
        <f>0.2*$Q$690</f>
        <v>13.8</v>
      </c>
      <c r="R693" s="688">
        <f>0.2*$R$690</f>
        <v>13.8</v>
      </c>
      <c r="S693" s="689"/>
      <c r="T693" s="689"/>
      <c r="U693" s="454"/>
    </row>
    <row r="694" spans="1:21" s="59" customFormat="1" ht="15.75">
      <c r="A694" s="769" t="s">
        <v>672</v>
      </c>
      <c r="B694" s="656" t="s">
        <v>595</v>
      </c>
      <c r="C694" s="404"/>
      <c r="D694" s="641" t="s">
        <v>890</v>
      </c>
      <c r="E694" s="405"/>
      <c r="F694" s="692"/>
      <c r="G694" s="688"/>
      <c r="H694" s="688">
        <f t="shared" si="320"/>
        <v>16.8</v>
      </c>
      <c r="I694" s="688"/>
      <c r="J694" s="688"/>
      <c r="K694" s="688">
        <f t="shared" si="321"/>
        <v>16.8</v>
      </c>
      <c r="L694" s="688">
        <f>0.2*$L$690</f>
        <v>69.2</v>
      </c>
      <c r="M694" s="688">
        <f>0.2*$M$690</f>
        <v>23</v>
      </c>
      <c r="N694" s="688"/>
      <c r="O694" s="688"/>
      <c r="P694" s="688"/>
      <c r="Q694" s="688">
        <f>0.2*$Q$690</f>
        <v>13.8</v>
      </c>
      <c r="R694" s="688">
        <f>0.2*$R$690</f>
        <v>13.8</v>
      </c>
      <c r="S694" s="689"/>
      <c r="T694" s="689"/>
      <c r="U694" s="454"/>
    </row>
    <row r="695" spans="1:21" s="59" customFormat="1" ht="15.75">
      <c r="A695" s="769" t="s">
        <v>673</v>
      </c>
      <c r="B695" s="658" t="s">
        <v>135</v>
      </c>
      <c r="C695" s="404"/>
      <c r="D695" s="641" t="s">
        <v>890</v>
      </c>
      <c r="E695" s="405"/>
      <c r="F695" s="692"/>
      <c r="G695" s="688"/>
      <c r="H695" s="688">
        <f t="shared" si="320"/>
        <v>16.8</v>
      </c>
      <c r="I695" s="688"/>
      <c r="J695" s="688"/>
      <c r="K695" s="688">
        <f t="shared" si="321"/>
        <v>16.8</v>
      </c>
      <c r="L695" s="688">
        <f>0.2*$L$690</f>
        <v>69.2</v>
      </c>
      <c r="M695" s="688">
        <f>0.15*$M$690</f>
        <v>17.25</v>
      </c>
      <c r="N695" s="688"/>
      <c r="O695" s="688"/>
      <c r="P695" s="688"/>
      <c r="Q695" s="688">
        <f>0.2*$Q$690</f>
        <v>13.8</v>
      </c>
      <c r="R695" s="688">
        <f>0.2*$R$690</f>
        <v>13.8</v>
      </c>
      <c r="S695" s="689"/>
      <c r="T695" s="689"/>
      <c r="U695" s="454"/>
    </row>
    <row r="696" spans="1:21" s="59" customFormat="1" ht="15.75">
      <c r="A696" s="769" t="s">
        <v>674</v>
      </c>
      <c r="B696" s="658" t="s">
        <v>326</v>
      </c>
      <c r="C696" s="404"/>
      <c r="D696" s="641" t="s">
        <v>890</v>
      </c>
      <c r="E696" s="405"/>
      <c r="F696" s="692"/>
      <c r="G696" s="688"/>
      <c r="H696" s="688">
        <f t="shared" si="320"/>
        <v>16.8</v>
      </c>
      <c r="I696" s="688"/>
      <c r="J696" s="688"/>
      <c r="K696" s="688">
        <f t="shared" si="321"/>
        <v>16.8</v>
      </c>
      <c r="L696" s="688">
        <f t="shared" si="319"/>
        <v>34.6</v>
      </c>
      <c r="M696" s="688">
        <f>0.15*$M$690</f>
        <v>17.25</v>
      </c>
      <c r="N696" s="688"/>
      <c r="O696" s="688"/>
      <c r="P696" s="688"/>
      <c r="Q696" s="688">
        <f>0.2*$Q$690</f>
        <v>13.8</v>
      </c>
      <c r="R696" s="688">
        <f>0.2*$R$690</f>
        <v>13.8</v>
      </c>
      <c r="S696" s="689"/>
      <c r="T696" s="689"/>
      <c r="U696" s="454"/>
    </row>
    <row r="697" spans="1:21" s="403" customFormat="1" ht="15.75">
      <c r="A697" s="769" t="s">
        <v>675</v>
      </c>
      <c r="B697" s="656" t="s">
        <v>150</v>
      </c>
      <c r="C697" s="404"/>
      <c r="D697" s="641" t="s">
        <v>890</v>
      </c>
      <c r="E697" s="405"/>
      <c r="F697" s="692"/>
      <c r="G697" s="680"/>
      <c r="H697" s="688"/>
      <c r="I697" s="680"/>
      <c r="J697" s="680"/>
      <c r="K697" s="688">
        <f t="shared" si="321"/>
        <v>16.8</v>
      </c>
      <c r="L697" s="688">
        <f t="shared" si="319"/>
        <v>34.6</v>
      </c>
      <c r="M697" s="688">
        <f>0.15*$M$690</f>
        <v>17.25</v>
      </c>
      <c r="N697" s="680"/>
      <c r="O697" s="680"/>
      <c r="P697" s="680"/>
      <c r="Q697" s="688">
        <f>0.1*$Q$690</f>
        <v>6.9</v>
      </c>
      <c r="R697" s="688">
        <f>0.1*$R$690</f>
        <v>6.9</v>
      </c>
      <c r="S697" s="445"/>
      <c r="T697" s="445"/>
      <c r="U697" s="444"/>
    </row>
    <row r="698" spans="1:21" s="403" customFormat="1" ht="15.75">
      <c r="A698" s="769" t="s">
        <v>676</v>
      </c>
      <c r="B698" s="656" t="s">
        <v>597</v>
      </c>
      <c r="C698" s="404"/>
      <c r="D698" s="641" t="s">
        <v>890</v>
      </c>
      <c r="E698" s="405"/>
      <c r="F698" s="692"/>
      <c r="G698" s="680"/>
      <c r="H698" s="680"/>
      <c r="I698" s="680"/>
      <c r="J698" s="680"/>
      <c r="K698" s="680"/>
      <c r="L698" s="688"/>
      <c r="M698" s="680"/>
      <c r="N698" s="680"/>
      <c r="O698" s="680"/>
      <c r="P698" s="680"/>
      <c r="Q698" s="688">
        <f>0.1*$Q$690</f>
        <v>6.9</v>
      </c>
      <c r="R698" s="688">
        <f>0.1*$R$690</f>
        <v>6.9</v>
      </c>
      <c r="S698" s="445"/>
      <c r="T698" s="445"/>
      <c r="U698" s="444"/>
    </row>
    <row r="699" spans="1:21" s="240" customFormat="1" ht="15.75">
      <c r="A699" s="486"/>
      <c r="B699" s="598"/>
      <c r="C699" s="320"/>
      <c r="D699" s="238"/>
      <c r="E699" s="239"/>
      <c r="F699" s="664">
        <f>F690-SUM(F691:F696)</f>
        <v>0</v>
      </c>
      <c r="G699" s="664">
        <f>G690-SUM(G691:G698)</f>
        <v>0</v>
      </c>
      <c r="H699" s="664">
        <f>H690-SUM(H691:H698)</f>
        <v>0</v>
      </c>
      <c r="I699" s="664">
        <f t="shared" ref="I699:U699" si="322">I690-SUM(I691:I698)</f>
        <v>0</v>
      </c>
      <c r="J699" s="664">
        <f t="shared" si="322"/>
        <v>0</v>
      </c>
      <c r="K699" s="664">
        <f t="shared" si="322"/>
        <v>0</v>
      </c>
      <c r="L699" s="664">
        <f t="shared" si="322"/>
        <v>0</v>
      </c>
      <c r="M699" s="664">
        <f t="shared" si="322"/>
        <v>0</v>
      </c>
      <c r="N699" s="664">
        <f t="shared" si="322"/>
        <v>0</v>
      </c>
      <c r="O699" s="664">
        <f t="shared" si="322"/>
        <v>0</v>
      </c>
      <c r="P699" s="664"/>
      <c r="Q699" s="664">
        <f t="shared" si="322"/>
        <v>0</v>
      </c>
      <c r="R699" s="664">
        <f t="shared" si="322"/>
        <v>0</v>
      </c>
      <c r="S699" s="664">
        <f t="shared" si="322"/>
        <v>0</v>
      </c>
      <c r="T699" s="664">
        <f t="shared" si="322"/>
        <v>0</v>
      </c>
      <c r="U699" s="664">
        <f t="shared" si="322"/>
        <v>0</v>
      </c>
    </row>
    <row r="700" spans="1:21" s="59" customFormat="1" ht="15.75">
      <c r="A700" s="769"/>
      <c r="B700" s="656"/>
      <c r="C700" s="404"/>
      <c r="D700" s="641"/>
      <c r="E700" s="405"/>
      <c r="F700" s="690"/>
      <c r="G700" s="679"/>
      <c r="H700" s="679"/>
      <c r="I700" s="679"/>
      <c r="J700" s="679"/>
      <c r="K700" s="679"/>
      <c r="L700" s="679"/>
      <c r="M700" s="679"/>
      <c r="N700" s="679"/>
      <c r="O700" s="679"/>
      <c r="P700" s="679"/>
      <c r="Q700" s="679"/>
      <c r="R700" s="679"/>
      <c r="S700" s="442"/>
      <c r="T700" s="442"/>
      <c r="U700" s="454"/>
    </row>
    <row r="701" spans="1:21" s="401" customFormat="1" ht="15.75">
      <c r="A701" s="417" t="s">
        <v>677</v>
      </c>
      <c r="B701" s="604" t="s">
        <v>176</v>
      </c>
      <c r="C701" s="427"/>
      <c r="D701" s="398"/>
      <c r="E701" s="399"/>
      <c r="F701" s="669"/>
      <c r="G701" s="669"/>
      <c r="H701" s="820">
        <f>TRUNC(0.01*H583)</f>
        <v>11</v>
      </c>
      <c r="I701" s="820">
        <f>TRUNC(0.1*I583)</f>
        <v>231</v>
      </c>
      <c r="J701" s="820">
        <f>TRUNC(0.05*J$583)</f>
        <v>57</v>
      </c>
      <c r="K701" s="820">
        <f>TRUNC(0.01*K583)</f>
        <v>11</v>
      </c>
      <c r="L701" s="820">
        <f>TRUNC(0.05*L$583)</f>
        <v>115</v>
      </c>
      <c r="M701" s="820">
        <f>TRUNC(0.05*M$583)</f>
        <v>57</v>
      </c>
      <c r="N701" s="669"/>
      <c r="O701" s="669"/>
      <c r="P701" s="669"/>
      <c r="Q701" s="820">
        <f>TRUNC(0.1*Q$583)</f>
        <v>346</v>
      </c>
      <c r="R701" s="820">
        <f>TRUNC(0.1*R$583)</f>
        <v>346</v>
      </c>
      <c r="S701" s="400">
        <v>0</v>
      </c>
      <c r="T701" s="400">
        <v>0</v>
      </c>
      <c r="U701" s="400">
        <v>0</v>
      </c>
    </row>
    <row r="702" spans="1:21" s="59" customFormat="1" ht="15.75">
      <c r="A702" s="769" t="s">
        <v>678</v>
      </c>
      <c r="B702" s="658" t="s">
        <v>326</v>
      </c>
      <c r="C702" s="404"/>
      <c r="D702" s="641" t="s">
        <v>890</v>
      </c>
      <c r="E702" s="405"/>
      <c r="F702" s="692"/>
      <c r="G702" s="688"/>
      <c r="H702" s="688">
        <f>0.2*$H$701</f>
        <v>2.2000000000000002</v>
      </c>
      <c r="I702" s="688">
        <f>0.15*$I$701</f>
        <v>34.65</v>
      </c>
      <c r="J702" s="688">
        <f>0.15*$J$701</f>
        <v>8.5499999999999989</v>
      </c>
      <c r="K702" s="688"/>
      <c r="L702" s="688">
        <f>0.15*$L$701</f>
        <v>17.25</v>
      </c>
      <c r="M702" s="688">
        <f>0.15*$M$701</f>
        <v>8.5499999999999989</v>
      </c>
      <c r="N702" s="688"/>
      <c r="O702" s="688"/>
      <c r="P702" s="688"/>
      <c r="Q702" s="688">
        <f>0.2*$Q$701</f>
        <v>69.2</v>
      </c>
      <c r="R702" s="688">
        <f>0.2*$R$701</f>
        <v>69.2</v>
      </c>
      <c r="S702" s="689"/>
      <c r="T702" s="689"/>
      <c r="U702" s="454"/>
    </row>
    <row r="703" spans="1:21" s="59" customFormat="1" ht="15.75">
      <c r="A703" s="769" t="s">
        <v>679</v>
      </c>
      <c r="B703" s="656" t="s">
        <v>135</v>
      </c>
      <c r="C703" s="404"/>
      <c r="D703" s="641" t="s">
        <v>890</v>
      </c>
      <c r="E703" s="405"/>
      <c r="F703" s="692"/>
      <c r="G703" s="688"/>
      <c r="H703" s="688">
        <f t="shared" ref="H703:H706" si="323">0.2*$H$701</f>
        <v>2.2000000000000002</v>
      </c>
      <c r="I703" s="688">
        <f>0.15*$I$701</f>
        <v>34.65</v>
      </c>
      <c r="J703" s="688">
        <f t="shared" ref="J703:J708" si="324">0.15*$J$701</f>
        <v>8.5499999999999989</v>
      </c>
      <c r="K703" s="688"/>
      <c r="L703" s="688">
        <f t="shared" ref="L703:L708" si="325">0.15*$L$701</f>
        <v>17.25</v>
      </c>
      <c r="M703" s="688">
        <f t="shared" ref="M703:M708" si="326">0.15*$M$701</f>
        <v>8.5499999999999989</v>
      </c>
      <c r="N703" s="688"/>
      <c r="O703" s="688"/>
      <c r="P703" s="688"/>
      <c r="Q703" s="688">
        <f>0.2*$Q$701</f>
        <v>69.2</v>
      </c>
      <c r="R703" s="688">
        <f>0.2*$R$701</f>
        <v>69.2</v>
      </c>
      <c r="S703" s="689"/>
      <c r="T703" s="689"/>
      <c r="U703" s="454"/>
    </row>
    <row r="704" spans="1:21" s="59" customFormat="1" ht="15.75">
      <c r="A704" s="769" t="s">
        <v>680</v>
      </c>
      <c r="B704" s="656" t="s">
        <v>112</v>
      </c>
      <c r="C704" s="404"/>
      <c r="D704" s="641" t="s">
        <v>890</v>
      </c>
      <c r="E704" s="405"/>
      <c r="F704" s="692"/>
      <c r="G704" s="688"/>
      <c r="H704" s="688">
        <f t="shared" si="323"/>
        <v>2.2000000000000002</v>
      </c>
      <c r="I704" s="688">
        <f>0.15*$I$701</f>
        <v>34.65</v>
      </c>
      <c r="J704" s="688">
        <f t="shared" si="324"/>
        <v>8.5499999999999989</v>
      </c>
      <c r="K704" s="688"/>
      <c r="L704" s="688">
        <f t="shared" si="325"/>
        <v>17.25</v>
      </c>
      <c r="M704" s="688">
        <f t="shared" si="326"/>
        <v>8.5499999999999989</v>
      </c>
      <c r="N704" s="688"/>
      <c r="O704" s="688"/>
      <c r="P704" s="688"/>
      <c r="Q704" s="688"/>
      <c r="R704" s="688"/>
      <c r="S704" s="689"/>
      <c r="T704" s="689"/>
      <c r="U704" s="454"/>
    </row>
    <row r="705" spans="1:21" s="59" customFormat="1" ht="15.75">
      <c r="A705" s="769" t="s">
        <v>681</v>
      </c>
      <c r="B705" s="656" t="s">
        <v>105</v>
      </c>
      <c r="C705" s="404"/>
      <c r="D705" s="641" t="s">
        <v>890</v>
      </c>
      <c r="E705" s="405"/>
      <c r="F705" s="692"/>
      <c r="G705" s="688"/>
      <c r="H705" s="688">
        <f t="shared" si="323"/>
        <v>2.2000000000000002</v>
      </c>
      <c r="I705" s="688">
        <f>0.2*$I$701</f>
        <v>46.2</v>
      </c>
      <c r="J705" s="688">
        <f>0.2*$J$701</f>
        <v>11.4</v>
      </c>
      <c r="K705" s="688">
        <f>0.5*$K$701</f>
        <v>5.5</v>
      </c>
      <c r="L705" s="688">
        <f>0.2*$L$701</f>
        <v>23</v>
      </c>
      <c r="M705" s="688">
        <f>0.2*$M$701</f>
        <v>11.4</v>
      </c>
      <c r="N705" s="688"/>
      <c r="O705" s="688"/>
      <c r="P705" s="688"/>
      <c r="Q705" s="688">
        <f>0.2*$Q$701</f>
        <v>69.2</v>
      </c>
      <c r="R705" s="688">
        <f>0.2*$R$701</f>
        <v>69.2</v>
      </c>
      <c r="S705" s="689"/>
      <c r="T705" s="689"/>
      <c r="U705" s="454"/>
    </row>
    <row r="706" spans="1:21" s="59" customFormat="1" ht="15.75">
      <c r="A706" s="769" t="s">
        <v>682</v>
      </c>
      <c r="B706" s="656" t="s">
        <v>595</v>
      </c>
      <c r="C706" s="404"/>
      <c r="D706" s="641" t="s">
        <v>890</v>
      </c>
      <c r="E706" s="405"/>
      <c r="F706" s="692"/>
      <c r="G706" s="688"/>
      <c r="H706" s="688">
        <f t="shared" si="323"/>
        <v>2.2000000000000002</v>
      </c>
      <c r="I706" s="688">
        <f>0.2*$I$701</f>
        <v>46.2</v>
      </c>
      <c r="J706" s="688">
        <f>0.2*$J$701</f>
        <v>11.4</v>
      </c>
      <c r="K706" s="688">
        <f>0.5*$K$701</f>
        <v>5.5</v>
      </c>
      <c r="L706" s="688">
        <f>0.2*$L$701</f>
        <v>23</v>
      </c>
      <c r="M706" s="688">
        <f>0.2*$M$701</f>
        <v>11.4</v>
      </c>
      <c r="N706" s="688"/>
      <c r="O706" s="688"/>
      <c r="P706" s="688"/>
      <c r="Q706" s="688">
        <f>0.2*$Q$701</f>
        <v>69.2</v>
      </c>
      <c r="R706" s="688">
        <f>0.2*$R$701</f>
        <v>69.2</v>
      </c>
      <c r="S706" s="689"/>
      <c r="T706" s="689"/>
      <c r="U706" s="454"/>
    </row>
    <row r="707" spans="1:21" s="59" customFormat="1" ht="15.75">
      <c r="A707" s="769" t="s">
        <v>683</v>
      </c>
      <c r="B707" s="656" t="s">
        <v>597</v>
      </c>
      <c r="C707" s="404"/>
      <c r="D707" s="641" t="s">
        <v>890</v>
      </c>
      <c r="E707" s="405"/>
      <c r="F707" s="692"/>
      <c r="G707" s="688"/>
      <c r="H707" s="688"/>
      <c r="I707" s="688"/>
      <c r="J707" s="688"/>
      <c r="K707" s="688"/>
      <c r="L707" s="688"/>
      <c r="M707" s="688"/>
      <c r="N707" s="688"/>
      <c r="O707" s="688"/>
      <c r="P707" s="688"/>
      <c r="Q707" s="688">
        <f>0.05*$Q$701</f>
        <v>17.3</v>
      </c>
      <c r="R707" s="688">
        <f>0.05*$R$701</f>
        <v>17.3</v>
      </c>
      <c r="S707" s="689"/>
      <c r="T707" s="689"/>
      <c r="U707" s="454"/>
    </row>
    <row r="708" spans="1:21" s="59" customFormat="1" ht="15.75">
      <c r="A708" s="769" t="s">
        <v>684</v>
      </c>
      <c r="B708" s="656" t="s">
        <v>150</v>
      </c>
      <c r="C708" s="404"/>
      <c r="D708" s="641" t="s">
        <v>890</v>
      </c>
      <c r="E708" s="405"/>
      <c r="F708" s="692"/>
      <c r="G708" s="688"/>
      <c r="H708" s="688"/>
      <c r="I708" s="688">
        <f>0.15*$I$701</f>
        <v>34.65</v>
      </c>
      <c r="J708" s="688">
        <f t="shared" si="324"/>
        <v>8.5499999999999989</v>
      </c>
      <c r="K708" s="688"/>
      <c r="L708" s="688">
        <f t="shared" si="325"/>
        <v>17.25</v>
      </c>
      <c r="M708" s="688">
        <f t="shared" si="326"/>
        <v>8.5499999999999989</v>
      </c>
      <c r="N708" s="688"/>
      <c r="O708" s="688"/>
      <c r="P708" s="688"/>
      <c r="Q708" s="688">
        <f>0.15*$Q$701</f>
        <v>51.9</v>
      </c>
      <c r="R708" s="688">
        <f>0.15*$R$701</f>
        <v>51.9</v>
      </c>
      <c r="S708" s="689"/>
      <c r="T708" s="689"/>
      <c r="U708" s="454"/>
    </row>
    <row r="709" spans="1:21" s="240" customFormat="1" ht="15.75">
      <c r="A709" s="365"/>
      <c r="B709" s="616"/>
      <c r="C709" s="320"/>
      <c r="D709" s="238"/>
      <c r="E709" s="239"/>
      <c r="F709" s="664">
        <f t="shared" ref="F709:U709" si="327">F701-SUM(F702:F708)</f>
        <v>0</v>
      </c>
      <c r="G709" s="664">
        <f t="shared" si="327"/>
        <v>0</v>
      </c>
      <c r="H709" s="664">
        <f t="shared" si="327"/>
        <v>0</v>
      </c>
      <c r="I709" s="664">
        <f t="shared" si="327"/>
        <v>0</v>
      </c>
      <c r="J709" s="664">
        <f t="shared" si="327"/>
        <v>0</v>
      </c>
      <c r="K709" s="664">
        <f t="shared" si="327"/>
        <v>0</v>
      </c>
      <c r="L709" s="664">
        <f t="shared" si="327"/>
        <v>0</v>
      </c>
      <c r="M709" s="664">
        <f t="shared" si="327"/>
        <v>0</v>
      </c>
      <c r="N709" s="664">
        <f t="shared" si="327"/>
        <v>0</v>
      </c>
      <c r="O709" s="664">
        <f t="shared" si="327"/>
        <v>0</v>
      </c>
      <c r="P709" s="664"/>
      <c r="Q709" s="664">
        <f>Q701-SUM(Q702:Q708)</f>
        <v>0</v>
      </c>
      <c r="R709" s="664">
        <f t="shared" si="327"/>
        <v>0</v>
      </c>
      <c r="S709" s="664">
        <f t="shared" si="327"/>
        <v>0</v>
      </c>
      <c r="T709" s="664">
        <f t="shared" si="327"/>
        <v>0</v>
      </c>
      <c r="U709" s="664">
        <f t="shared" si="327"/>
        <v>0</v>
      </c>
    </row>
    <row r="710" spans="1:21" s="59" customFormat="1" ht="15.75">
      <c r="A710" s="769"/>
      <c r="B710" s="656"/>
      <c r="C710" s="404"/>
      <c r="D710" s="641"/>
      <c r="E710" s="405"/>
      <c r="F710" s="690"/>
      <c r="G710" s="679"/>
      <c r="H710" s="679"/>
      <c r="I710" s="679"/>
      <c r="J710" s="679"/>
      <c r="K710" s="679"/>
      <c r="L710" s="679"/>
      <c r="M710" s="679"/>
      <c r="N710" s="679"/>
      <c r="O710" s="679"/>
      <c r="P710" s="679"/>
      <c r="Q710" s="679"/>
      <c r="R710" s="679"/>
      <c r="S710" s="442"/>
      <c r="T710" s="442"/>
      <c r="U710" s="454"/>
    </row>
    <row r="711" spans="1:21" s="288" customFormat="1" ht="31.5">
      <c r="A711" s="417" t="s">
        <v>685</v>
      </c>
      <c r="B711" s="693" t="s">
        <v>181</v>
      </c>
      <c r="C711" s="427"/>
      <c r="D711" s="398"/>
      <c r="E711" s="399"/>
      <c r="F711" s="669"/>
      <c r="G711" s="666">
        <f>TRUNC(0.015*G$583)</f>
        <v>17</v>
      </c>
      <c r="H711" s="668">
        <f>TRUNC(0.01*H583)</f>
        <v>11</v>
      </c>
      <c r="I711" s="668">
        <f>TRUNC(0.0208*I583)</f>
        <v>48</v>
      </c>
      <c r="J711" s="654"/>
      <c r="K711" s="668">
        <f>TRUNC(0.01*K583)</f>
        <v>11</v>
      </c>
      <c r="L711" s="668">
        <f>TRUNC(0.08*L$583)</f>
        <v>184</v>
      </c>
      <c r="M711" s="668">
        <f>TRUNC(0.083*M$583)</f>
        <v>95</v>
      </c>
      <c r="N711" s="654"/>
      <c r="O711" s="654"/>
      <c r="P711" s="654"/>
      <c r="Q711" s="654"/>
      <c r="R711" s="654"/>
      <c r="S711" s="400">
        <v>0</v>
      </c>
      <c r="T711" s="400">
        <v>0</v>
      </c>
      <c r="U711" s="400">
        <v>0</v>
      </c>
    </row>
    <row r="712" spans="1:21" s="59" customFormat="1" ht="15.75">
      <c r="A712" s="769" t="s">
        <v>686</v>
      </c>
      <c r="B712" s="658" t="s">
        <v>326</v>
      </c>
      <c r="C712" s="404"/>
      <c r="D712" s="641" t="s">
        <v>890</v>
      </c>
      <c r="E712" s="405"/>
      <c r="F712" s="692"/>
      <c r="G712" s="688">
        <f>TRUNC(0.15*G$711)</f>
        <v>2</v>
      </c>
      <c r="H712" s="688">
        <f>0.5*$H$711</f>
        <v>5.5</v>
      </c>
      <c r="I712" s="688">
        <f>0.2*$I$711</f>
        <v>9.6000000000000014</v>
      </c>
      <c r="J712" s="688"/>
      <c r="K712" s="688"/>
      <c r="L712" s="688">
        <f>0.25*$L$711</f>
        <v>46</v>
      </c>
      <c r="M712" s="688">
        <f>0.25*$M$711</f>
        <v>23.75</v>
      </c>
      <c r="N712" s="688"/>
      <c r="O712" s="688"/>
      <c r="P712" s="688"/>
      <c r="Q712" s="688"/>
      <c r="R712" s="688"/>
      <c r="S712" s="689"/>
      <c r="T712" s="689"/>
      <c r="U712" s="454"/>
    </row>
    <row r="713" spans="1:21" s="59" customFormat="1" ht="15.75">
      <c r="A713" s="769" t="s">
        <v>687</v>
      </c>
      <c r="B713" s="656" t="s">
        <v>135</v>
      </c>
      <c r="C713" s="404"/>
      <c r="D713" s="641" t="s">
        <v>890</v>
      </c>
      <c r="E713" s="405"/>
      <c r="F713" s="692"/>
      <c r="G713" s="688">
        <f>TRUNC(0.3*G$711)</f>
        <v>5</v>
      </c>
      <c r="H713" s="688">
        <f>0.5*$H$711</f>
        <v>5.5</v>
      </c>
      <c r="I713" s="688">
        <f t="shared" ref="I713:I718" si="328">0.2*$I$711</f>
        <v>9.6000000000000014</v>
      </c>
      <c r="J713" s="688"/>
      <c r="K713" s="688"/>
      <c r="L713" s="688">
        <f>0.15*$L$711</f>
        <v>27.599999999999998</v>
      </c>
      <c r="M713" s="688">
        <f t="shared" ref="M713:M718" si="329">0.15*$M$711</f>
        <v>14.25</v>
      </c>
      <c r="N713" s="688"/>
      <c r="O713" s="688"/>
      <c r="P713" s="688"/>
      <c r="Q713" s="688"/>
      <c r="R713" s="688"/>
      <c r="S713" s="689"/>
      <c r="T713" s="689"/>
      <c r="U713" s="454"/>
    </row>
    <row r="714" spans="1:21" s="59" customFormat="1" ht="15.75">
      <c r="A714" s="769" t="s">
        <v>688</v>
      </c>
      <c r="B714" s="656" t="s">
        <v>112</v>
      </c>
      <c r="C714" s="404"/>
      <c r="D714" s="641" t="s">
        <v>890</v>
      </c>
      <c r="E714" s="405"/>
      <c r="F714" s="692"/>
      <c r="G714" s="688">
        <f>TRUNC(0.15*G$711)</f>
        <v>2</v>
      </c>
      <c r="H714" s="688"/>
      <c r="I714" s="688"/>
      <c r="J714" s="688"/>
      <c r="K714" s="688"/>
      <c r="L714" s="688">
        <f>0.15*$L$711</f>
        <v>27.599999999999998</v>
      </c>
      <c r="M714" s="688">
        <f t="shared" si="329"/>
        <v>14.25</v>
      </c>
      <c r="N714" s="688"/>
      <c r="O714" s="688"/>
      <c r="P714" s="688"/>
      <c r="Q714" s="688"/>
      <c r="R714" s="688"/>
      <c r="S714" s="689"/>
      <c r="T714" s="689"/>
      <c r="U714" s="454"/>
    </row>
    <row r="715" spans="1:21" s="59" customFormat="1" ht="15.75">
      <c r="A715" s="769" t="s">
        <v>689</v>
      </c>
      <c r="B715" s="656" t="s">
        <v>105</v>
      </c>
      <c r="C715" s="404"/>
      <c r="D715" s="641" t="s">
        <v>890</v>
      </c>
      <c r="E715" s="405"/>
      <c r="F715" s="692"/>
      <c r="G715" s="688">
        <f>TRUNC(0.15*G$711)+2</f>
        <v>4</v>
      </c>
      <c r="H715" s="688"/>
      <c r="I715" s="688">
        <f t="shared" si="328"/>
        <v>9.6000000000000014</v>
      </c>
      <c r="J715" s="688"/>
      <c r="K715" s="688">
        <f>0.5*$K$711</f>
        <v>5.5</v>
      </c>
      <c r="L715" s="688">
        <f>0.15*$L$711</f>
        <v>27.599999999999998</v>
      </c>
      <c r="M715" s="688">
        <f t="shared" si="329"/>
        <v>14.25</v>
      </c>
      <c r="N715" s="688"/>
      <c r="O715" s="688"/>
      <c r="P715" s="688"/>
      <c r="Q715" s="688"/>
      <c r="R715" s="688"/>
      <c r="S715" s="689"/>
      <c r="T715" s="689"/>
      <c r="U715" s="454"/>
    </row>
    <row r="716" spans="1:21" s="59" customFormat="1" ht="15.75">
      <c r="A716" s="769" t="s">
        <v>690</v>
      </c>
      <c r="B716" s="656" t="s">
        <v>595</v>
      </c>
      <c r="C716" s="404"/>
      <c r="D716" s="641" t="s">
        <v>890</v>
      </c>
      <c r="E716" s="405"/>
      <c r="F716" s="692"/>
      <c r="G716" s="688">
        <f>TRUNC(0.15*G$711)</f>
        <v>2</v>
      </c>
      <c r="H716" s="688"/>
      <c r="I716" s="688">
        <f t="shared" si="328"/>
        <v>9.6000000000000014</v>
      </c>
      <c r="J716" s="688"/>
      <c r="K716" s="688">
        <f>0.5*$K$711</f>
        <v>5.5</v>
      </c>
      <c r="L716" s="688">
        <f>0.1*$L$711</f>
        <v>18.400000000000002</v>
      </c>
      <c r="M716" s="688">
        <f t="shared" si="329"/>
        <v>14.25</v>
      </c>
      <c r="N716" s="688"/>
      <c r="O716" s="688"/>
      <c r="P716" s="688"/>
      <c r="Q716" s="688"/>
      <c r="R716" s="688"/>
      <c r="S716" s="689"/>
      <c r="T716" s="689"/>
      <c r="U716" s="454"/>
    </row>
    <row r="717" spans="1:21" s="59" customFormat="1" ht="15.75">
      <c r="A717" s="769" t="s">
        <v>691</v>
      </c>
      <c r="B717" s="656" t="s">
        <v>597</v>
      </c>
      <c r="C717" s="404"/>
      <c r="D717" s="641" t="s">
        <v>890</v>
      </c>
      <c r="E717" s="405"/>
      <c r="F717" s="692"/>
      <c r="G717" s="688"/>
      <c r="H717" s="688"/>
      <c r="I717" s="688"/>
      <c r="J717" s="688"/>
      <c r="K717" s="688"/>
      <c r="L717" s="688">
        <f>0.05*$L$711</f>
        <v>9.2000000000000011</v>
      </c>
      <c r="M717" s="688"/>
      <c r="N717" s="688"/>
      <c r="O717" s="688"/>
      <c r="P717" s="688"/>
      <c r="Q717" s="688"/>
      <c r="R717" s="688"/>
      <c r="S717" s="689"/>
      <c r="T717" s="689"/>
      <c r="U717" s="454"/>
    </row>
    <row r="718" spans="1:21" s="59" customFormat="1" ht="15.75">
      <c r="A718" s="769" t="s">
        <v>692</v>
      </c>
      <c r="B718" s="656" t="s">
        <v>150</v>
      </c>
      <c r="C718" s="404"/>
      <c r="D718" s="641" t="s">
        <v>890</v>
      </c>
      <c r="E718" s="405"/>
      <c r="F718" s="692"/>
      <c r="G718" s="688">
        <f>TRUNC(0.15*G$711)</f>
        <v>2</v>
      </c>
      <c r="H718" s="688"/>
      <c r="I718" s="688">
        <f t="shared" si="328"/>
        <v>9.6000000000000014</v>
      </c>
      <c r="J718" s="688"/>
      <c r="K718" s="688"/>
      <c r="L718" s="688">
        <f>0.15*$L$711</f>
        <v>27.599999999999998</v>
      </c>
      <c r="M718" s="688">
        <f t="shared" si="329"/>
        <v>14.25</v>
      </c>
      <c r="N718" s="688"/>
      <c r="O718" s="688"/>
      <c r="P718" s="688"/>
      <c r="Q718" s="688"/>
      <c r="R718" s="688"/>
      <c r="S718" s="689"/>
      <c r="T718" s="689"/>
      <c r="U718" s="454"/>
    </row>
    <row r="719" spans="1:21" s="284" customFormat="1" ht="15.75">
      <c r="A719" s="769"/>
      <c r="B719" s="656"/>
      <c r="C719" s="404"/>
      <c r="D719" s="641"/>
      <c r="E719" s="405"/>
      <c r="F719" s="664">
        <f t="shared" ref="F719:U719" si="330">F711-SUM(F712:F718)</f>
        <v>0</v>
      </c>
      <c r="G719" s="664">
        <f t="shared" si="330"/>
        <v>0</v>
      </c>
      <c r="H719" s="664">
        <f t="shared" si="330"/>
        <v>0</v>
      </c>
      <c r="I719" s="664">
        <f t="shared" si="330"/>
        <v>0</v>
      </c>
      <c r="J719" s="664">
        <f t="shared" si="330"/>
        <v>0</v>
      </c>
      <c r="K719" s="664"/>
      <c r="L719" s="664">
        <f t="shared" si="330"/>
        <v>0</v>
      </c>
      <c r="M719" s="664">
        <f t="shared" si="330"/>
        <v>0</v>
      </c>
      <c r="N719" s="664">
        <f t="shared" si="330"/>
        <v>0</v>
      </c>
      <c r="O719" s="664">
        <f t="shared" si="330"/>
        <v>0</v>
      </c>
      <c r="P719" s="664"/>
      <c r="Q719" s="664">
        <f t="shared" si="330"/>
        <v>0</v>
      </c>
      <c r="R719" s="664">
        <f t="shared" si="330"/>
        <v>0</v>
      </c>
      <c r="S719" s="664">
        <f t="shared" si="330"/>
        <v>0</v>
      </c>
      <c r="T719" s="664">
        <f t="shared" si="330"/>
        <v>0</v>
      </c>
      <c r="U719" s="664">
        <f t="shared" si="330"/>
        <v>0</v>
      </c>
    </row>
    <row r="720" spans="1:21" s="59" customFormat="1" ht="15.75">
      <c r="A720" s="769"/>
      <c r="B720" s="656"/>
      <c r="C720" s="404"/>
      <c r="D720" s="641"/>
      <c r="E720" s="405"/>
      <c r="F720" s="690"/>
      <c r="G720" s="679"/>
      <c r="H720" s="679"/>
      <c r="I720" s="679"/>
      <c r="J720" s="679"/>
      <c r="K720" s="679"/>
      <c r="L720" s="679"/>
      <c r="M720" s="679"/>
      <c r="N720" s="679"/>
      <c r="O720" s="679"/>
      <c r="P720" s="679"/>
      <c r="Q720" s="679"/>
      <c r="R720" s="679"/>
      <c r="S720" s="442"/>
      <c r="T720" s="442"/>
      <c r="U720" s="454"/>
    </row>
    <row r="721" spans="1:21" s="288" customFormat="1" ht="15.75">
      <c r="A721" s="417" t="s">
        <v>693</v>
      </c>
      <c r="B721" s="693" t="s">
        <v>187</v>
      </c>
      <c r="C721" s="427"/>
      <c r="D721" s="398"/>
      <c r="E721" s="399"/>
      <c r="F721" s="669"/>
      <c r="G721" s="654"/>
      <c r="H721" s="668">
        <f>TRUNC(0.01*H$583)</f>
        <v>11</v>
      </c>
      <c r="I721" s="654"/>
      <c r="J721" s="668">
        <f>TRUNC(0.024*J$583)</f>
        <v>27</v>
      </c>
      <c r="K721" s="668">
        <f>TRUNC(0.01*K583)</f>
        <v>11</v>
      </c>
      <c r="L721" s="668">
        <f>TRUNC(0.07*L$583)</f>
        <v>161</v>
      </c>
      <c r="M721" s="668">
        <f>TRUNC(0.071*M$583)</f>
        <v>82</v>
      </c>
      <c r="N721" s="654"/>
      <c r="O721" s="654"/>
      <c r="P721" s="589"/>
      <c r="Q721" s="668">
        <f>TRUNC(0.004*Q$583)</f>
        <v>13</v>
      </c>
      <c r="R721" s="668">
        <f>TRUNC(0.004*R$583)</f>
        <v>13</v>
      </c>
      <c r="S721" s="400">
        <v>0</v>
      </c>
      <c r="T721" s="400">
        <v>0</v>
      </c>
      <c r="U721" s="400">
        <v>0</v>
      </c>
    </row>
    <row r="722" spans="1:21" s="59" customFormat="1" ht="15.75">
      <c r="A722" s="426" t="s">
        <v>694</v>
      </c>
      <c r="B722" s="658" t="s">
        <v>326</v>
      </c>
      <c r="C722" s="396"/>
      <c r="D722" s="641" t="s">
        <v>890</v>
      </c>
      <c r="E722" s="397"/>
      <c r="F722" s="691"/>
      <c r="G722" s="681"/>
      <c r="H722" s="681">
        <f>0.5*$H$721</f>
        <v>5.5</v>
      </c>
      <c r="I722" s="681"/>
      <c r="J722" s="681">
        <f>TRUNC(0.15*J$721)-1</f>
        <v>3</v>
      </c>
      <c r="K722" s="681"/>
      <c r="L722" s="681">
        <f>TRUNC(0.15*L$721)-5</f>
        <v>19</v>
      </c>
      <c r="M722" s="681">
        <f>TRUNC(0.15*M$721)-2</f>
        <v>10</v>
      </c>
      <c r="N722" s="678"/>
      <c r="O722" s="678"/>
      <c r="P722" s="678"/>
      <c r="Q722" s="678"/>
      <c r="R722" s="678"/>
      <c r="S722" s="327"/>
      <c r="T722" s="327"/>
      <c r="U722" s="454"/>
    </row>
    <row r="723" spans="1:21" s="59" customFormat="1" ht="15.75">
      <c r="A723" s="426" t="s">
        <v>695</v>
      </c>
      <c r="B723" s="656" t="s">
        <v>135</v>
      </c>
      <c r="C723" s="396"/>
      <c r="D723" s="641" t="s">
        <v>890</v>
      </c>
      <c r="E723" s="397"/>
      <c r="F723" s="691"/>
      <c r="G723" s="681"/>
      <c r="H723" s="681">
        <f>0.5*$H$721</f>
        <v>5.5</v>
      </c>
      <c r="I723" s="681"/>
      <c r="J723" s="681">
        <f t="shared" ref="J723:M728" si="331">TRUNC(0.15*J$721)</f>
        <v>4</v>
      </c>
      <c r="K723" s="681"/>
      <c r="L723" s="681">
        <f>TRUNC(0.29*L$721)</f>
        <v>46</v>
      </c>
      <c r="M723" s="681">
        <f t="shared" si="331"/>
        <v>12</v>
      </c>
      <c r="N723" s="678"/>
      <c r="O723" s="678"/>
      <c r="P723" s="678"/>
      <c r="Q723" s="678"/>
      <c r="R723" s="678"/>
      <c r="S723" s="327"/>
      <c r="T723" s="327"/>
      <c r="U723" s="454"/>
    </row>
    <row r="724" spans="1:21" s="59" customFormat="1" ht="15.75">
      <c r="A724" s="426" t="s">
        <v>696</v>
      </c>
      <c r="B724" s="656" t="s">
        <v>112</v>
      </c>
      <c r="C724" s="396"/>
      <c r="D724" s="641" t="s">
        <v>890</v>
      </c>
      <c r="E724" s="397"/>
      <c r="F724" s="691"/>
      <c r="G724" s="681"/>
      <c r="H724" s="681"/>
      <c r="I724" s="681"/>
      <c r="J724" s="681">
        <f t="shared" si="331"/>
        <v>4</v>
      </c>
      <c r="K724" s="681"/>
      <c r="L724" s="681">
        <f t="shared" si="331"/>
        <v>24</v>
      </c>
      <c r="M724" s="681">
        <f t="shared" si="331"/>
        <v>12</v>
      </c>
      <c r="N724" s="678"/>
      <c r="O724" s="678"/>
      <c r="P724" s="678"/>
      <c r="Q724" s="678"/>
      <c r="R724" s="678"/>
      <c r="S724" s="327"/>
      <c r="T724" s="327"/>
      <c r="U724" s="454"/>
    </row>
    <row r="725" spans="1:21" s="59" customFormat="1" ht="15.75">
      <c r="A725" s="426" t="s">
        <v>697</v>
      </c>
      <c r="B725" s="656" t="s">
        <v>105</v>
      </c>
      <c r="C725" s="396"/>
      <c r="D725" s="641" t="s">
        <v>890</v>
      </c>
      <c r="E725" s="397"/>
      <c r="F725" s="691"/>
      <c r="G725" s="681"/>
      <c r="H725" s="681"/>
      <c r="I725" s="681"/>
      <c r="J725" s="681">
        <f>TRUNC(0.3*J$721)</f>
        <v>8</v>
      </c>
      <c r="K725" s="681">
        <f>0.5*$K$721</f>
        <v>5.5</v>
      </c>
      <c r="L725" s="681">
        <f t="shared" si="331"/>
        <v>24</v>
      </c>
      <c r="M725" s="681">
        <f>TRUNC(0.3*M$721)</f>
        <v>24</v>
      </c>
      <c r="N725" s="678"/>
      <c r="O725" s="678"/>
      <c r="P725" s="678"/>
      <c r="Q725" s="678">
        <f>0.25*$Q$721</f>
        <v>3.25</v>
      </c>
      <c r="R725" s="678">
        <f>0.25*$R$721</f>
        <v>3.25</v>
      </c>
      <c r="S725" s="327"/>
      <c r="T725" s="327"/>
      <c r="U725" s="454"/>
    </row>
    <row r="726" spans="1:21" s="59" customFormat="1" ht="15.75">
      <c r="A726" s="426" t="s">
        <v>698</v>
      </c>
      <c r="B726" s="656" t="s">
        <v>595</v>
      </c>
      <c r="C726" s="396"/>
      <c r="D726" s="641" t="s">
        <v>890</v>
      </c>
      <c r="E726" s="397"/>
      <c r="F726" s="691"/>
      <c r="G726" s="681"/>
      <c r="H726" s="681"/>
      <c r="I726" s="681"/>
      <c r="J726" s="681">
        <f t="shared" si="331"/>
        <v>4</v>
      </c>
      <c r="K726" s="681">
        <f>0.5*$K$721</f>
        <v>5.5</v>
      </c>
      <c r="L726" s="681">
        <f t="shared" si="331"/>
        <v>24</v>
      </c>
      <c r="M726" s="681">
        <f t="shared" si="331"/>
        <v>12</v>
      </c>
      <c r="N726" s="678"/>
      <c r="O726" s="678"/>
      <c r="P726" s="678"/>
      <c r="Q726" s="678">
        <f>0.25*$Q$721</f>
        <v>3.25</v>
      </c>
      <c r="R726" s="678">
        <f>0.25*$R$721</f>
        <v>3.25</v>
      </c>
      <c r="S726" s="327"/>
      <c r="T726" s="327"/>
      <c r="U726" s="454"/>
    </row>
    <row r="727" spans="1:21" s="59" customFormat="1" ht="15.75">
      <c r="A727" s="426" t="s">
        <v>699</v>
      </c>
      <c r="B727" s="656" t="s">
        <v>597</v>
      </c>
      <c r="C727" s="396"/>
      <c r="D727" s="641" t="s">
        <v>890</v>
      </c>
      <c r="E727" s="397"/>
      <c r="F727" s="691"/>
      <c r="G727" s="681"/>
      <c r="H727" s="681"/>
      <c r="I727" s="681"/>
      <c r="J727" s="681"/>
      <c r="K727" s="681"/>
      <c r="L727" s="681"/>
      <c r="M727" s="681"/>
      <c r="N727" s="678"/>
      <c r="O727" s="678"/>
      <c r="P727" s="678"/>
      <c r="Q727" s="678">
        <f>0.25*$Q$721</f>
        <v>3.25</v>
      </c>
      <c r="R727" s="678">
        <f>0.25*$R$721</f>
        <v>3.25</v>
      </c>
      <c r="S727" s="327"/>
      <c r="T727" s="327"/>
      <c r="U727" s="454"/>
    </row>
    <row r="728" spans="1:21" s="59" customFormat="1" ht="15.75">
      <c r="A728" s="426" t="s">
        <v>700</v>
      </c>
      <c r="B728" s="656" t="s">
        <v>150</v>
      </c>
      <c r="C728" s="396"/>
      <c r="D728" s="641" t="s">
        <v>890</v>
      </c>
      <c r="E728" s="397"/>
      <c r="F728" s="691"/>
      <c r="G728" s="681"/>
      <c r="H728" s="681"/>
      <c r="I728" s="681"/>
      <c r="J728" s="681">
        <f t="shared" si="331"/>
        <v>4</v>
      </c>
      <c r="K728" s="681"/>
      <c r="L728" s="681">
        <f t="shared" si="331"/>
        <v>24</v>
      </c>
      <c r="M728" s="681">
        <f t="shared" si="331"/>
        <v>12</v>
      </c>
      <c r="N728" s="678"/>
      <c r="O728" s="678"/>
      <c r="P728" s="678"/>
      <c r="Q728" s="678">
        <f>0.25*$Q$721</f>
        <v>3.25</v>
      </c>
      <c r="R728" s="678">
        <f>0.25*$R$721</f>
        <v>3.25</v>
      </c>
      <c r="S728" s="327"/>
      <c r="T728" s="327"/>
      <c r="U728" s="454"/>
    </row>
    <row r="729" spans="1:21" s="284" customFormat="1" ht="15.75">
      <c r="A729" s="426"/>
      <c r="B729" s="656"/>
      <c r="C729" s="396"/>
      <c r="D729" s="641"/>
      <c r="E729" s="397"/>
      <c r="F729" s="664">
        <f t="shared" ref="F729:U729" si="332">F721-SUM(F722:F728)</f>
        <v>0</v>
      </c>
      <c r="G729" s="664">
        <f t="shared" si="332"/>
        <v>0</v>
      </c>
      <c r="H729" s="664">
        <f t="shared" si="332"/>
        <v>0</v>
      </c>
      <c r="I729" s="664">
        <f t="shared" si="332"/>
        <v>0</v>
      </c>
      <c r="J729" s="664">
        <f t="shared" si="332"/>
        <v>0</v>
      </c>
      <c r="K729" s="664"/>
      <c r="L729" s="664">
        <f t="shared" si="332"/>
        <v>0</v>
      </c>
      <c r="M729" s="664">
        <f t="shared" si="332"/>
        <v>0</v>
      </c>
      <c r="N729" s="664">
        <f t="shared" si="332"/>
        <v>0</v>
      </c>
      <c r="O729" s="664">
        <f t="shared" si="332"/>
        <v>0</v>
      </c>
      <c r="P729" s="664"/>
      <c r="Q729" s="664">
        <f t="shared" si="332"/>
        <v>0</v>
      </c>
      <c r="R729" s="664">
        <f t="shared" si="332"/>
        <v>0</v>
      </c>
      <c r="S729" s="664">
        <f t="shared" si="332"/>
        <v>0</v>
      </c>
      <c r="T729" s="664">
        <f t="shared" si="332"/>
        <v>0</v>
      </c>
      <c r="U729" s="664">
        <f t="shared" si="332"/>
        <v>0</v>
      </c>
    </row>
    <row r="730" spans="1:21" s="59" customFormat="1" ht="15.75">
      <c r="A730" s="426"/>
      <c r="B730" s="656"/>
      <c r="C730" s="396"/>
      <c r="D730" s="641"/>
      <c r="E730" s="397"/>
      <c r="F730" s="691"/>
      <c r="G730" s="681"/>
      <c r="H730" s="681"/>
      <c r="I730" s="681"/>
      <c r="J730" s="681"/>
      <c r="K730" s="681"/>
      <c r="L730" s="681"/>
      <c r="M730" s="677"/>
      <c r="N730" s="678"/>
      <c r="O730" s="678"/>
      <c r="P730" s="678"/>
      <c r="Q730" s="678"/>
      <c r="R730" s="678"/>
      <c r="S730" s="327"/>
      <c r="T730" s="327"/>
      <c r="U730" s="454"/>
    </row>
    <row r="731" spans="1:21" s="288" customFormat="1" ht="15.75">
      <c r="A731" s="391" t="s">
        <v>701</v>
      </c>
      <c r="B731" s="693" t="s">
        <v>193</v>
      </c>
      <c r="C731" s="290"/>
      <c r="D731" s="398"/>
      <c r="E731" s="291"/>
      <c r="F731" s="666"/>
      <c r="G731" s="666"/>
      <c r="H731" s="668">
        <f>TRUNC(0.06*H$583)</f>
        <v>69</v>
      </c>
      <c r="I731" s="668"/>
      <c r="J731" s="668"/>
      <c r="K731" s="668">
        <f>TRUNC(0.06*K$583)</f>
        <v>69</v>
      </c>
      <c r="L731" s="668">
        <f>TRUNC(0.13*L$583)</f>
        <v>300</v>
      </c>
      <c r="M731" s="668">
        <f>TRUNC(0.1*M$583)</f>
        <v>115</v>
      </c>
      <c r="N731" s="668">
        <f>0.05*N$583</f>
        <v>57.75</v>
      </c>
      <c r="O731" s="668"/>
      <c r="P731" s="668"/>
      <c r="Q731" s="668">
        <f>TRUNC(0.0095*Q$583)</f>
        <v>32</v>
      </c>
      <c r="R731" s="668">
        <f>TRUNC(0.005*R$583)</f>
        <v>17</v>
      </c>
      <c r="S731" s="400">
        <v>0</v>
      </c>
      <c r="T731" s="400">
        <v>0</v>
      </c>
      <c r="U731" s="400">
        <v>0</v>
      </c>
    </row>
    <row r="732" spans="1:21" s="59" customFormat="1" ht="15.75">
      <c r="A732" s="426" t="s">
        <v>702</v>
      </c>
      <c r="B732" s="658" t="s">
        <v>326</v>
      </c>
      <c r="C732" s="396"/>
      <c r="D732" s="641" t="s">
        <v>890</v>
      </c>
      <c r="E732" s="397"/>
      <c r="F732" s="683"/>
      <c r="G732" s="684"/>
      <c r="H732" s="684">
        <f>0.2*$H$731</f>
        <v>13.8</v>
      </c>
      <c r="I732" s="684"/>
      <c r="J732" s="684"/>
      <c r="K732" s="682">
        <f t="shared" ref="K732:K735" si="333">0.2*$K$731</f>
        <v>13.8</v>
      </c>
      <c r="L732" s="684">
        <f>0.2*$L$731</f>
        <v>60</v>
      </c>
      <c r="M732" s="684">
        <f>0.15*$M$731</f>
        <v>17.25</v>
      </c>
      <c r="N732" s="685">
        <f>0.2*$N$731</f>
        <v>11.55</v>
      </c>
      <c r="O732" s="685"/>
      <c r="P732" s="685"/>
      <c r="Q732" s="685"/>
      <c r="R732" s="685"/>
      <c r="S732" s="448"/>
      <c r="T732" s="448"/>
      <c r="U732" s="449"/>
    </row>
    <row r="733" spans="1:21" s="59" customFormat="1" ht="15.75">
      <c r="A733" s="426" t="s">
        <v>703</v>
      </c>
      <c r="B733" s="656" t="s">
        <v>135</v>
      </c>
      <c r="C733" s="396"/>
      <c r="D733" s="641" t="s">
        <v>890</v>
      </c>
      <c r="E733" s="397"/>
      <c r="F733" s="683"/>
      <c r="G733" s="684"/>
      <c r="H733" s="684">
        <f t="shared" ref="H733:H736" si="334">0.2*$H$731</f>
        <v>13.8</v>
      </c>
      <c r="I733" s="684"/>
      <c r="J733" s="684"/>
      <c r="K733" s="682">
        <f t="shared" si="333"/>
        <v>13.8</v>
      </c>
      <c r="L733" s="684">
        <f>0.2*$L$731</f>
        <v>60</v>
      </c>
      <c r="M733" s="684">
        <f>0.15*$M$731</f>
        <v>17.25</v>
      </c>
      <c r="N733" s="685">
        <f>0.2*$N$731</f>
        <v>11.55</v>
      </c>
      <c r="O733" s="685"/>
      <c r="P733" s="685"/>
      <c r="Q733" s="685"/>
      <c r="R733" s="685"/>
      <c r="S733" s="448"/>
      <c r="T733" s="448"/>
      <c r="U733" s="449"/>
    </row>
    <row r="734" spans="1:21" s="59" customFormat="1" ht="15.75">
      <c r="A734" s="426" t="s">
        <v>704</v>
      </c>
      <c r="B734" s="656" t="s">
        <v>112</v>
      </c>
      <c r="C734" s="396"/>
      <c r="D734" s="641" t="s">
        <v>890</v>
      </c>
      <c r="E734" s="397"/>
      <c r="F734" s="683"/>
      <c r="G734" s="684"/>
      <c r="H734" s="684">
        <f t="shared" si="334"/>
        <v>13.8</v>
      </c>
      <c r="I734" s="684"/>
      <c r="J734" s="684"/>
      <c r="K734" s="682">
        <f t="shared" si="333"/>
        <v>13.8</v>
      </c>
      <c r="L734" s="684">
        <f>0.15*$L$731</f>
        <v>45</v>
      </c>
      <c r="M734" s="684">
        <f>0.15*$M$731</f>
        <v>17.25</v>
      </c>
      <c r="N734" s="685">
        <f>0.2*$N$731</f>
        <v>11.55</v>
      </c>
      <c r="O734" s="685"/>
      <c r="P734" s="685"/>
      <c r="Q734" s="685"/>
      <c r="R734" s="685"/>
      <c r="S734" s="448"/>
      <c r="T734" s="448"/>
      <c r="U734" s="449"/>
    </row>
    <row r="735" spans="1:21" s="59" customFormat="1" ht="15.75">
      <c r="A735" s="426" t="s">
        <v>705</v>
      </c>
      <c r="B735" s="656" t="s">
        <v>105</v>
      </c>
      <c r="C735" s="396"/>
      <c r="D735" s="641" t="s">
        <v>890</v>
      </c>
      <c r="E735" s="405"/>
      <c r="F735" s="446"/>
      <c r="G735" s="682"/>
      <c r="H735" s="684">
        <f t="shared" si="334"/>
        <v>13.8</v>
      </c>
      <c r="I735" s="682"/>
      <c r="J735" s="682"/>
      <c r="K735" s="682">
        <f t="shared" si="333"/>
        <v>13.8</v>
      </c>
      <c r="L735" s="684">
        <f>0.15*$L$731</f>
        <v>45</v>
      </c>
      <c r="M735" s="684">
        <f>0.2*$M$731</f>
        <v>23</v>
      </c>
      <c r="N735" s="685">
        <f>0.2*$N$731</f>
        <v>11.55</v>
      </c>
      <c r="O735" s="682"/>
      <c r="P735" s="682"/>
      <c r="Q735" s="682">
        <f>0.25*$Q$731</f>
        <v>8</v>
      </c>
      <c r="R735" s="682">
        <f>0.25*$R$731</f>
        <v>4.25</v>
      </c>
      <c r="S735" s="447"/>
      <c r="T735" s="447"/>
      <c r="U735" s="449"/>
    </row>
    <row r="736" spans="1:21" s="59" customFormat="1" ht="15.75">
      <c r="A736" s="426" t="s">
        <v>706</v>
      </c>
      <c r="B736" s="656" t="s">
        <v>595</v>
      </c>
      <c r="C736" s="396"/>
      <c r="D736" s="641" t="s">
        <v>890</v>
      </c>
      <c r="E736" s="397"/>
      <c r="F736" s="683"/>
      <c r="G736" s="684"/>
      <c r="H736" s="684">
        <f t="shared" si="334"/>
        <v>13.8</v>
      </c>
      <c r="I736" s="684"/>
      <c r="J736" s="684"/>
      <c r="K736" s="682">
        <f>0.2*$K$731</f>
        <v>13.8</v>
      </c>
      <c r="L736" s="684">
        <f>0.15*$L$731</f>
        <v>45</v>
      </c>
      <c r="M736" s="684">
        <f>0.2*$M$731</f>
        <v>23</v>
      </c>
      <c r="N736" s="685">
        <f>0.2*$N$731</f>
        <v>11.55</v>
      </c>
      <c r="O736" s="685"/>
      <c r="P736" s="685"/>
      <c r="Q736" s="682">
        <f>0.25*$Q$731</f>
        <v>8</v>
      </c>
      <c r="R736" s="682">
        <f>0.25*$R$731</f>
        <v>4.25</v>
      </c>
      <c r="S736" s="448"/>
      <c r="T736" s="448"/>
      <c r="U736" s="449"/>
    </row>
    <row r="737" spans="1:21" s="59" customFormat="1" ht="15.75">
      <c r="A737" s="426" t="s">
        <v>707</v>
      </c>
      <c r="B737" s="656" t="s">
        <v>597</v>
      </c>
      <c r="C737" s="396"/>
      <c r="D737" s="641" t="s">
        <v>890</v>
      </c>
      <c r="E737" s="397"/>
      <c r="F737" s="683"/>
      <c r="G737" s="684"/>
      <c r="H737" s="684"/>
      <c r="I737" s="684"/>
      <c r="J737" s="684"/>
      <c r="K737" s="684"/>
      <c r="L737" s="684"/>
      <c r="M737" s="684"/>
      <c r="N737" s="685"/>
      <c r="O737" s="685"/>
      <c r="P737" s="685"/>
      <c r="Q737" s="682">
        <f>0.25*$Q$731</f>
        <v>8</v>
      </c>
      <c r="R737" s="682">
        <f>0.25*$R$731</f>
        <v>4.25</v>
      </c>
      <c r="S737" s="448"/>
      <c r="T737" s="448"/>
      <c r="U737" s="449"/>
    </row>
    <row r="738" spans="1:21" s="59" customFormat="1" ht="15.75">
      <c r="A738" s="426" t="s">
        <v>708</v>
      </c>
      <c r="B738" s="656" t="s">
        <v>150</v>
      </c>
      <c r="C738" s="396"/>
      <c r="D738" s="641" t="s">
        <v>890</v>
      </c>
      <c r="E738" s="397"/>
      <c r="F738" s="683"/>
      <c r="G738" s="684"/>
      <c r="H738" s="684"/>
      <c r="I738" s="684"/>
      <c r="J738" s="684"/>
      <c r="K738" s="684"/>
      <c r="L738" s="684">
        <f>0.15*$L$731</f>
        <v>45</v>
      </c>
      <c r="M738" s="684">
        <f>0.15*$M$731</f>
        <v>17.25</v>
      </c>
      <c r="N738" s="685"/>
      <c r="O738" s="685"/>
      <c r="P738" s="685"/>
      <c r="Q738" s="682">
        <f>0.25*$Q$731</f>
        <v>8</v>
      </c>
      <c r="R738" s="682">
        <f>0.25*$R$731</f>
        <v>4.25</v>
      </c>
      <c r="S738" s="448"/>
      <c r="T738" s="448"/>
      <c r="U738" s="449"/>
    </row>
    <row r="739" spans="1:21" s="98" customFormat="1" ht="15.75">
      <c r="A739" s="69"/>
      <c r="B739" s="590"/>
      <c r="C739" s="315"/>
      <c r="D739" s="91"/>
      <c r="E739" s="316"/>
      <c r="F739" s="672">
        <f t="shared" ref="F739:U739" si="335">F731-SUM(F732:F738)</f>
        <v>0</v>
      </c>
      <c r="G739" s="672">
        <f t="shared" si="335"/>
        <v>0</v>
      </c>
      <c r="H739" s="672">
        <f t="shared" si="335"/>
        <v>0</v>
      </c>
      <c r="I739" s="672">
        <f t="shared" si="335"/>
        <v>0</v>
      </c>
      <c r="J739" s="672">
        <f t="shared" si="335"/>
        <v>0</v>
      </c>
      <c r="K739" s="672">
        <f>K731-SUM(K732:K738)</f>
        <v>0</v>
      </c>
      <c r="L739" s="672">
        <f t="shared" si="335"/>
        <v>0</v>
      </c>
      <c r="M739" s="672">
        <f t="shared" si="335"/>
        <v>0</v>
      </c>
      <c r="N739" s="672">
        <f t="shared" si="335"/>
        <v>0</v>
      </c>
      <c r="O739" s="672">
        <f t="shared" si="335"/>
        <v>0</v>
      </c>
      <c r="P739" s="672"/>
      <c r="Q739" s="672">
        <f>Q731-SUM(Q732:Q738)</f>
        <v>0</v>
      </c>
      <c r="R739" s="672">
        <f t="shared" si="335"/>
        <v>0</v>
      </c>
      <c r="S739" s="672">
        <f t="shared" si="335"/>
        <v>0</v>
      </c>
      <c r="T739" s="672">
        <f t="shared" si="335"/>
        <v>0</v>
      </c>
      <c r="U739" s="672">
        <f t="shared" si="335"/>
        <v>0</v>
      </c>
    </row>
    <row r="740" spans="1:21" s="59" customFormat="1" ht="15.75">
      <c r="A740" s="426"/>
      <c r="B740" s="656"/>
      <c r="C740" s="396"/>
      <c r="D740" s="641"/>
      <c r="E740" s="397"/>
      <c r="F740" s="438"/>
      <c r="G740" s="676"/>
      <c r="H740" s="676"/>
      <c r="I740" s="676"/>
      <c r="J740" s="676"/>
      <c r="K740" s="676"/>
      <c r="L740" s="676"/>
      <c r="M740" s="461"/>
      <c r="N740" s="279"/>
      <c r="O740" s="279"/>
      <c r="P740" s="279"/>
      <c r="Q740" s="279"/>
      <c r="R740" s="279"/>
      <c r="S740" s="462"/>
      <c r="T740" s="462"/>
      <c r="U740" s="454"/>
    </row>
    <row r="741" spans="1:21" s="288" customFormat="1" ht="15.75">
      <c r="A741" s="391" t="s">
        <v>709</v>
      </c>
      <c r="B741" s="611" t="s">
        <v>198</v>
      </c>
      <c r="C741" s="290"/>
      <c r="D741" s="398"/>
      <c r="E741" s="291"/>
      <c r="F741" s="666"/>
      <c r="G741" s="666"/>
      <c r="H741" s="668">
        <f>TRUNC(0.01*H$583)</f>
        <v>11</v>
      </c>
      <c r="I741" s="668"/>
      <c r="J741" s="668"/>
      <c r="K741" s="668">
        <f>TRUNC(0.01*K$583)</f>
        <v>11</v>
      </c>
      <c r="L741" s="668">
        <f>TRUNC(0.1*L$583)</f>
        <v>231</v>
      </c>
      <c r="M741" s="668">
        <f>TRUNC(0.1*M$583)</f>
        <v>115</v>
      </c>
      <c r="N741" s="666"/>
      <c r="O741" s="666"/>
      <c r="P741" s="666"/>
      <c r="Q741" s="668">
        <f>TRUNC(0.02*Q$583)</f>
        <v>69</v>
      </c>
      <c r="R741" s="668">
        <f>TRUNC(0.02*R$583)</f>
        <v>69</v>
      </c>
      <c r="S741" s="400">
        <v>0</v>
      </c>
      <c r="T741" s="400">
        <v>0</v>
      </c>
      <c r="U741" s="400">
        <v>0</v>
      </c>
    </row>
    <row r="742" spans="1:21" s="59" customFormat="1" ht="15.75">
      <c r="A742" s="426" t="s">
        <v>710</v>
      </c>
      <c r="B742" s="658" t="s">
        <v>326</v>
      </c>
      <c r="C742" s="396"/>
      <c r="D742" s="641" t="s">
        <v>890</v>
      </c>
      <c r="E742" s="397"/>
      <c r="F742" s="683"/>
      <c r="G742" s="684"/>
      <c r="H742" s="684">
        <f>0.5*$H$741</f>
        <v>5.5</v>
      </c>
      <c r="I742" s="684"/>
      <c r="J742" s="684"/>
      <c r="K742" s="684"/>
      <c r="L742" s="684">
        <f>0.15*$L$741</f>
        <v>34.65</v>
      </c>
      <c r="M742" s="684">
        <f>0.2*$M$741</f>
        <v>23</v>
      </c>
      <c r="N742" s="685"/>
      <c r="O742" s="685"/>
      <c r="P742" s="685"/>
      <c r="Q742" s="685">
        <f>0.15*$Q$741</f>
        <v>10.35</v>
      </c>
      <c r="R742" s="685">
        <f>0.15*$R$741</f>
        <v>10.35</v>
      </c>
      <c r="S742" s="462"/>
      <c r="T742" s="462"/>
      <c r="U742" s="454"/>
    </row>
    <row r="743" spans="1:21" s="59" customFormat="1" ht="15.75">
      <c r="A743" s="426" t="s">
        <v>711</v>
      </c>
      <c r="B743" s="656" t="s">
        <v>135</v>
      </c>
      <c r="C743" s="396"/>
      <c r="D743" s="641" t="s">
        <v>890</v>
      </c>
      <c r="E743" s="397"/>
      <c r="F743" s="683"/>
      <c r="G743" s="684"/>
      <c r="H743" s="684">
        <f>0.5*$H$741</f>
        <v>5.5</v>
      </c>
      <c r="I743" s="684"/>
      <c r="J743" s="684"/>
      <c r="K743" s="684"/>
      <c r="L743" s="684">
        <f t="shared" ref="L743:L748" si="336">0.15*$L$741</f>
        <v>34.65</v>
      </c>
      <c r="M743" s="684">
        <f>0.2*$M$741</f>
        <v>23</v>
      </c>
      <c r="N743" s="685"/>
      <c r="O743" s="685"/>
      <c r="P743" s="685"/>
      <c r="Q743" s="685">
        <f t="shared" ref="Q743:Q748" si="337">0.15*$Q$741</f>
        <v>10.35</v>
      </c>
      <c r="R743" s="685">
        <f t="shared" ref="R743:R748" si="338">0.15*$R$741</f>
        <v>10.35</v>
      </c>
      <c r="S743" s="462"/>
      <c r="T743" s="462"/>
      <c r="U743" s="454"/>
    </row>
    <row r="744" spans="1:21" s="59" customFormat="1" ht="15.75">
      <c r="A744" s="426" t="s">
        <v>712</v>
      </c>
      <c r="B744" s="656" t="s">
        <v>112</v>
      </c>
      <c r="C744" s="396"/>
      <c r="D744" s="641" t="s">
        <v>890</v>
      </c>
      <c r="E744" s="397"/>
      <c r="F744" s="451"/>
      <c r="G744" s="686"/>
      <c r="H744" s="684"/>
      <c r="I744" s="686"/>
      <c r="J744" s="686"/>
      <c r="K744" s="686"/>
      <c r="L744" s="684">
        <f t="shared" si="336"/>
        <v>34.65</v>
      </c>
      <c r="M744" s="684">
        <f>0.15*$M$741</f>
        <v>17.25</v>
      </c>
      <c r="N744" s="685"/>
      <c r="O744" s="685"/>
      <c r="P744" s="685"/>
      <c r="Q744" s="685"/>
      <c r="R744" s="685"/>
      <c r="S744" s="462"/>
      <c r="T744" s="462"/>
      <c r="U744" s="454"/>
    </row>
    <row r="745" spans="1:21" s="59" customFormat="1" ht="15.75">
      <c r="A745" s="426" t="s">
        <v>713</v>
      </c>
      <c r="B745" s="656" t="s">
        <v>105</v>
      </c>
      <c r="C745" s="396"/>
      <c r="D745" s="641" t="s">
        <v>890</v>
      </c>
      <c r="E745" s="397"/>
      <c r="F745" s="683"/>
      <c r="G745" s="684"/>
      <c r="H745" s="684"/>
      <c r="I745" s="684"/>
      <c r="J745" s="684"/>
      <c r="K745" s="684">
        <f>0.5*$K$741</f>
        <v>5.5</v>
      </c>
      <c r="L745" s="684">
        <f>0.2*$L$741</f>
        <v>46.2</v>
      </c>
      <c r="M745" s="684">
        <f>0.15*$M$741</f>
        <v>17.25</v>
      </c>
      <c r="N745" s="452"/>
      <c r="O745" s="452"/>
      <c r="P745" s="452"/>
      <c r="Q745" s="685">
        <f>0.2*$Q$741</f>
        <v>13.8</v>
      </c>
      <c r="R745" s="685">
        <f>0.2*$R$741</f>
        <v>13.8</v>
      </c>
      <c r="S745" s="465"/>
      <c r="T745" s="465"/>
      <c r="U745" s="454"/>
    </row>
    <row r="746" spans="1:21" s="59" customFormat="1" ht="15.75">
      <c r="A746" s="426" t="s">
        <v>714</v>
      </c>
      <c r="B746" s="656" t="s">
        <v>595</v>
      </c>
      <c r="C746" s="396"/>
      <c r="D746" s="641" t="s">
        <v>890</v>
      </c>
      <c r="E746" s="397"/>
      <c r="F746" s="683"/>
      <c r="G746" s="684"/>
      <c r="H746" s="684"/>
      <c r="I746" s="684"/>
      <c r="J746" s="684"/>
      <c r="K746" s="684">
        <f>0.5*$K$741</f>
        <v>5.5</v>
      </c>
      <c r="L746" s="684">
        <f>0.2*$L$741</f>
        <v>46.2</v>
      </c>
      <c r="M746" s="684">
        <f>0.15*$M$741</f>
        <v>17.25</v>
      </c>
      <c r="N746" s="685"/>
      <c r="O746" s="685"/>
      <c r="P746" s="685"/>
      <c r="Q746" s="685">
        <f>0.2*$Q$741</f>
        <v>13.8</v>
      </c>
      <c r="R746" s="685">
        <f>0.2*$R$741</f>
        <v>13.8</v>
      </c>
      <c r="S746" s="462"/>
      <c r="T746" s="462"/>
      <c r="U746" s="454"/>
    </row>
    <row r="747" spans="1:21" s="59" customFormat="1" ht="15.75">
      <c r="A747" s="426" t="s">
        <v>715</v>
      </c>
      <c r="B747" s="656" t="s">
        <v>597</v>
      </c>
      <c r="C747" s="396"/>
      <c r="D747" s="641" t="s">
        <v>890</v>
      </c>
      <c r="E747" s="397"/>
      <c r="F747" s="683"/>
      <c r="G747" s="684"/>
      <c r="H747" s="684"/>
      <c r="I747" s="684"/>
      <c r="J747" s="684"/>
      <c r="K747" s="684"/>
      <c r="L747" s="684"/>
      <c r="M747" s="684"/>
      <c r="N747" s="685"/>
      <c r="O747" s="685"/>
      <c r="P747" s="685"/>
      <c r="Q747" s="685">
        <f t="shared" si="337"/>
        <v>10.35</v>
      </c>
      <c r="R747" s="685">
        <f t="shared" si="338"/>
        <v>10.35</v>
      </c>
      <c r="S747" s="327"/>
      <c r="T747" s="327"/>
      <c r="U747" s="454"/>
    </row>
    <row r="748" spans="1:21" s="59" customFormat="1" ht="15.75">
      <c r="A748" s="426" t="s">
        <v>716</v>
      </c>
      <c r="B748" s="656" t="s">
        <v>150</v>
      </c>
      <c r="C748" s="396"/>
      <c r="D748" s="641" t="s">
        <v>890</v>
      </c>
      <c r="E748" s="397"/>
      <c r="F748" s="683"/>
      <c r="G748" s="684"/>
      <c r="H748" s="684"/>
      <c r="I748" s="684"/>
      <c r="J748" s="684"/>
      <c r="K748" s="684"/>
      <c r="L748" s="684">
        <f t="shared" si="336"/>
        <v>34.65</v>
      </c>
      <c r="M748" s="684">
        <f>0.15*$M$741</f>
        <v>17.25</v>
      </c>
      <c r="N748" s="685"/>
      <c r="O748" s="685"/>
      <c r="P748" s="685"/>
      <c r="Q748" s="685">
        <f t="shared" si="337"/>
        <v>10.35</v>
      </c>
      <c r="R748" s="685">
        <f t="shared" si="338"/>
        <v>10.35</v>
      </c>
      <c r="S748" s="327"/>
      <c r="T748" s="327"/>
      <c r="U748" s="454"/>
    </row>
    <row r="749" spans="1:21" s="284" customFormat="1" ht="15.75">
      <c r="A749" s="426"/>
      <c r="B749" s="656"/>
      <c r="C749" s="396"/>
      <c r="D749" s="641"/>
      <c r="E749" s="397"/>
      <c r="F749" s="672">
        <f t="shared" ref="F749:U749" si="339">F741-SUM(F742:F748)</f>
        <v>0</v>
      </c>
      <c r="G749" s="672">
        <f t="shared" si="339"/>
        <v>0</v>
      </c>
      <c r="H749" s="672">
        <f>H741-SUM(H742:H748)</f>
        <v>0</v>
      </c>
      <c r="I749" s="672">
        <f t="shared" si="339"/>
        <v>0</v>
      </c>
      <c r="J749" s="672">
        <f t="shared" si="339"/>
        <v>0</v>
      </c>
      <c r="K749" s="672">
        <f t="shared" si="339"/>
        <v>0</v>
      </c>
      <c r="L749" s="672">
        <f t="shared" si="339"/>
        <v>0</v>
      </c>
      <c r="M749" s="672">
        <f t="shared" si="339"/>
        <v>0</v>
      </c>
      <c r="N749" s="672">
        <f t="shared" si="339"/>
        <v>0</v>
      </c>
      <c r="O749" s="672">
        <f t="shared" si="339"/>
        <v>0</v>
      </c>
      <c r="P749" s="672"/>
      <c r="Q749" s="672">
        <f t="shared" si="339"/>
        <v>0</v>
      </c>
      <c r="R749" s="672">
        <f t="shared" si="339"/>
        <v>0</v>
      </c>
      <c r="S749" s="672">
        <f t="shared" si="339"/>
        <v>0</v>
      </c>
      <c r="T749" s="672">
        <f t="shared" si="339"/>
        <v>0</v>
      </c>
      <c r="U749" s="672">
        <f t="shared" si="339"/>
        <v>0</v>
      </c>
    </row>
    <row r="750" spans="1:21" s="59" customFormat="1" ht="15.75">
      <c r="A750" s="769"/>
      <c r="B750" s="656"/>
      <c r="C750" s="404"/>
      <c r="D750" s="641"/>
      <c r="E750" s="405"/>
      <c r="F750" s="690"/>
      <c r="G750" s="679"/>
      <c r="H750" s="679"/>
      <c r="I750" s="679"/>
      <c r="J750" s="679"/>
      <c r="K750" s="679"/>
      <c r="L750" s="679"/>
      <c r="M750" s="679"/>
      <c r="N750" s="679"/>
      <c r="O750" s="679"/>
      <c r="P750" s="679"/>
      <c r="Q750" s="679"/>
      <c r="R750" s="679"/>
      <c r="S750" s="442"/>
      <c r="T750" s="442"/>
      <c r="U750" s="454"/>
    </row>
    <row r="751" spans="1:21" s="288" customFormat="1" ht="15.75">
      <c r="A751" s="417" t="s">
        <v>717</v>
      </c>
      <c r="B751" s="604" t="s">
        <v>203</v>
      </c>
      <c r="C751" s="427"/>
      <c r="D751" s="398"/>
      <c r="E751" s="399"/>
      <c r="F751" s="666">
        <f>TRUNC(0.01*F$583)</f>
        <v>26</v>
      </c>
      <c r="G751" s="666">
        <f>TRUNC(0.01*G$583)</f>
        <v>11</v>
      </c>
      <c r="H751" s="668">
        <f>TRUNC(0.01*H$583)</f>
        <v>11</v>
      </c>
      <c r="I751" s="668"/>
      <c r="J751" s="668"/>
      <c r="K751" s="668">
        <f>TRUNC(0.01*K$583)</f>
        <v>11</v>
      </c>
      <c r="L751" s="668">
        <f>TRUNC(0.05*L$583)</f>
        <v>115</v>
      </c>
      <c r="M751" s="668">
        <f>TRUNC(0.05*M$583)</f>
        <v>57</v>
      </c>
      <c r="N751" s="666"/>
      <c r="O751" s="666"/>
      <c r="P751" s="666"/>
      <c r="Q751" s="668">
        <f>TRUNC(0.02*Q$583)</f>
        <v>69</v>
      </c>
      <c r="R751" s="668">
        <f>TRUNC(0.02*R$583)</f>
        <v>69</v>
      </c>
      <c r="S751" s="400">
        <v>0</v>
      </c>
      <c r="T751" s="400">
        <v>0</v>
      </c>
      <c r="U751" s="400">
        <v>0</v>
      </c>
    </row>
    <row r="752" spans="1:21" s="59" customFormat="1" ht="15.75">
      <c r="A752" s="769" t="s">
        <v>718</v>
      </c>
      <c r="B752" s="658" t="s">
        <v>326</v>
      </c>
      <c r="C752" s="404"/>
      <c r="D752" s="641" t="s">
        <v>890</v>
      </c>
      <c r="E752" s="405"/>
      <c r="F752" s="692">
        <f>0.2*$F$751</f>
        <v>5.2</v>
      </c>
      <c r="G752" s="692">
        <f>0.2*$G$751</f>
        <v>2.2000000000000002</v>
      </c>
      <c r="H752" s="692">
        <f>0.5*$H$751</f>
        <v>5.5</v>
      </c>
      <c r="I752" s="688"/>
      <c r="J752" s="688"/>
      <c r="K752" s="688"/>
      <c r="L752" s="688">
        <f>0.2*$L$751</f>
        <v>23</v>
      </c>
      <c r="M752" s="688">
        <f>0.2*$M$751</f>
        <v>11.4</v>
      </c>
      <c r="N752" s="688"/>
      <c r="O752" s="688"/>
      <c r="P752" s="688"/>
      <c r="Q752" s="688"/>
      <c r="R752" s="688"/>
      <c r="S752" s="689"/>
      <c r="T752" s="689"/>
      <c r="U752" s="454"/>
    </row>
    <row r="753" spans="1:21" s="59" customFormat="1" ht="15.75">
      <c r="A753" s="769" t="s">
        <v>719</v>
      </c>
      <c r="B753" s="656" t="s">
        <v>135</v>
      </c>
      <c r="C753" s="404"/>
      <c r="D753" s="641" t="s">
        <v>890</v>
      </c>
      <c r="E753" s="405"/>
      <c r="F753" s="692">
        <f>0.2*$F$751</f>
        <v>5.2</v>
      </c>
      <c r="G753" s="692">
        <f>0.2*$G$751</f>
        <v>2.2000000000000002</v>
      </c>
      <c r="H753" s="692">
        <f>0.5*$H$751</f>
        <v>5.5</v>
      </c>
      <c r="I753" s="688"/>
      <c r="J753" s="688"/>
      <c r="K753" s="688"/>
      <c r="L753" s="688">
        <f>0.2*$L$751</f>
        <v>23</v>
      </c>
      <c r="M753" s="688">
        <f>0.2*$M$751</f>
        <v>11.4</v>
      </c>
      <c r="N753" s="688"/>
      <c r="O753" s="688"/>
      <c r="P753" s="688"/>
      <c r="Q753" s="688"/>
      <c r="R753" s="688"/>
      <c r="S753" s="689"/>
      <c r="T753" s="689"/>
      <c r="U753" s="454"/>
    </row>
    <row r="754" spans="1:21" s="59" customFormat="1" ht="15.75">
      <c r="A754" s="769" t="s">
        <v>720</v>
      </c>
      <c r="B754" s="656" t="s">
        <v>112</v>
      </c>
      <c r="C754" s="404"/>
      <c r="D754" s="641" t="s">
        <v>890</v>
      </c>
      <c r="E754" s="405"/>
      <c r="F754" s="692">
        <f>0.15*$F$751</f>
        <v>3.9</v>
      </c>
      <c r="G754" s="692">
        <f>0.15*$G$751</f>
        <v>1.65</v>
      </c>
      <c r="H754" s="692"/>
      <c r="I754" s="688"/>
      <c r="J754" s="688"/>
      <c r="K754" s="688"/>
      <c r="L754" s="688">
        <f>0.15*$L$751</f>
        <v>17.25</v>
      </c>
      <c r="M754" s="688">
        <f>0.15*$M$751</f>
        <v>8.5499999999999989</v>
      </c>
      <c r="N754" s="688"/>
      <c r="O754" s="688"/>
      <c r="P754" s="688"/>
      <c r="Q754" s="688"/>
      <c r="R754" s="688"/>
      <c r="S754" s="689"/>
      <c r="T754" s="689"/>
      <c r="U754" s="454"/>
    </row>
    <row r="755" spans="1:21" s="59" customFormat="1" ht="15.75">
      <c r="A755" s="769" t="s">
        <v>721</v>
      </c>
      <c r="B755" s="656" t="s">
        <v>105</v>
      </c>
      <c r="C755" s="404"/>
      <c r="D755" s="641" t="s">
        <v>890</v>
      </c>
      <c r="E755" s="405"/>
      <c r="F755" s="692">
        <f>0.15*$F$751</f>
        <v>3.9</v>
      </c>
      <c r="G755" s="692">
        <f>0.15*$G$751</f>
        <v>1.65</v>
      </c>
      <c r="H755" s="692"/>
      <c r="I755" s="688"/>
      <c r="J755" s="688"/>
      <c r="K755" s="688">
        <f>0.5*$K$751</f>
        <v>5.5</v>
      </c>
      <c r="L755" s="688">
        <f>0.15*$L$751</f>
        <v>17.25</v>
      </c>
      <c r="M755" s="688">
        <f>0.15*$M$751</f>
        <v>8.5499999999999989</v>
      </c>
      <c r="N755" s="688"/>
      <c r="O755" s="688"/>
      <c r="P755" s="688"/>
      <c r="Q755" s="688">
        <f>0.25*$Q$751</f>
        <v>17.25</v>
      </c>
      <c r="R755" s="688">
        <f>0.25*$R$751</f>
        <v>17.25</v>
      </c>
      <c r="S755" s="689"/>
      <c r="T755" s="689"/>
      <c r="U755" s="454"/>
    </row>
    <row r="756" spans="1:21" s="59" customFormat="1" ht="15.75">
      <c r="A756" s="769" t="s">
        <v>722</v>
      </c>
      <c r="B756" s="656" t="s">
        <v>595</v>
      </c>
      <c r="C756" s="404"/>
      <c r="D756" s="641" t="s">
        <v>890</v>
      </c>
      <c r="E756" s="405"/>
      <c r="F756" s="692">
        <f>0.15*$F$751</f>
        <v>3.9</v>
      </c>
      <c r="G756" s="692">
        <f>0.15*$G$751</f>
        <v>1.65</v>
      </c>
      <c r="H756" s="692"/>
      <c r="I756" s="688"/>
      <c r="J756" s="688"/>
      <c r="K756" s="688">
        <f>0.5*$K$751</f>
        <v>5.5</v>
      </c>
      <c r="L756" s="688">
        <f>0.15*$L$751</f>
        <v>17.25</v>
      </c>
      <c r="M756" s="688">
        <f>0.15*$M$751</f>
        <v>8.5499999999999989</v>
      </c>
      <c r="N756" s="688"/>
      <c r="O756" s="688"/>
      <c r="P756" s="688"/>
      <c r="Q756" s="688">
        <f>0.25*$Q$751</f>
        <v>17.25</v>
      </c>
      <c r="R756" s="688">
        <f>0.25*$R$751</f>
        <v>17.25</v>
      </c>
      <c r="S756" s="689"/>
      <c r="T756" s="689"/>
      <c r="U756" s="454"/>
    </row>
    <row r="757" spans="1:21" s="59" customFormat="1" ht="15.75">
      <c r="A757" s="769" t="s">
        <v>723</v>
      </c>
      <c r="B757" s="656" t="s">
        <v>597</v>
      </c>
      <c r="C757" s="396"/>
      <c r="D757" s="641" t="s">
        <v>890</v>
      </c>
      <c r="E757" s="397"/>
      <c r="F757" s="692"/>
      <c r="G757" s="692"/>
      <c r="H757" s="692"/>
      <c r="I757" s="687"/>
      <c r="J757" s="687"/>
      <c r="K757" s="687"/>
      <c r="L757" s="688"/>
      <c r="M757" s="688"/>
      <c r="N757" s="456"/>
      <c r="O757" s="456"/>
      <c r="P757" s="456"/>
      <c r="Q757" s="688">
        <f>0.25*$Q$751</f>
        <v>17.25</v>
      </c>
      <c r="R757" s="688">
        <f>0.25*$R$751</f>
        <v>17.25</v>
      </c>
      <c r="S757" s="453"/>
      <c r="T757" s="453"/>
      <c r="U757" s="454"/>
    </row>
    <row r="758" spans="1:21" s="59" customFormat="1" ht="15.75">
      <c r="A758" s="769" t="s">
        <v>724</v>
      </c>
      <c r="B758" s="656" t="s">
        <v>150</v>
      </c>
      <c r="C758" s="396"/>
      <c r="D758" s="641" t="s">
        <v>890</v>
      </c>
      <c r="E758" s="397"/>
      <c r="F758" s="692">
        <f>0.15*$F$751</f>
        <v>3.9</v>
      </c>
      <c r="G758" s="692">
        <f>0.15*$G$751</f>
        <v>1.65</v>
      </c>
      <c r="H758" s="692"/>
      <c r="I758" s="687"/>
      <c r="J758" s="687"/>
      <c r="K758" s="687"/>
      <c r="L758" s="688">
        <f>0.15*$L$751</f>
        <v>17.25</v>
      </c>
      <c r="M758" s="688">
        <f>0.15*$M$751</f>
        <v>8.5499999999999989</v>
      </c>
      <c r="N758" s="456"/>
      <c r="O758" s="456"/>
      <c r="P758" s="456"/>
      <c r="Q758" s="688">
        <f>0.25*$Q$751</f>
        <v>17.25</v>
      </c>
      <c r="R758" s="688">
        <f>0.25*$R$751</f>
        <v>17.25</v>
      </c>
      <c r="S758" s="453"/>
      <c r="T758" s="453"/>
      <c r="U758" s="454"/>
    </row>
    <row r="759" spans="1:21" s="284" customFormat="1" ht="15.75">
      <c r="A759" s="769"/>
      <c r="B759" s="656"/>
      <c r="C759" s="404"/>
      <c r="D759" s="641"/>
      <c r="E759" s="405"/>
      <c r="F759" s="672">
        <f t="shared" ref="F759:U759" si="340">F751-SUM(F752:F758)</f>
        <v>0</v>
      </c>
      <c r="G759" s="672">
        <f t="shared" si="340"/>
        <v>0</v>
      </c>
      <c r="H759" s="672">
        <f t="shared" si="340"/>
        <v>0</v>
      </c>
      <c r="I759" s="672">
        <f t="shared" si="340"/>
        <v>0</v>
      </c>
      <c r="J759" s="672">
        <f t="shared" si="340"/>
        <v>0</v>
      </c>
      <c r="K759" s="672">
        <f t="shared" si="340"/>
        <v>0</v>
      </c>
      <c r="L759" s="672">
        <f t="shared" si="340"/>
        <v>0</v>
      </c>
      <c r="M759" s="672">
        <f t="shared" si="340"/>
        <v>0</v>
      </c>
      <c r="N759" s="672">
        <f t="shared" si="340"/>
        <v>0</v>
      </c>
      <c r="O759" s="672">
        <f t="shared" si="340"/>
        <v>0</v>
      </c>
      <c r="P759" s="672"/>
      <c r="Q759" s="672">
        <f t="shared" si="340"/>
        <v>0</v>
      </c>
      <c r="R759" s="672">
        <f t="shared" si="340"/>
        <v>0</v>
      </c>
      <c r="S759" s="672">
        <f t="shared" si="340"/>
        <v>0</v>
      </c>
      <c r="T759" s="672">
        <f t="shared" si="340"/>
        <v>0</v>
      </c>
      <c r="U759" s="672">
        <f t="shared" si="340"/>
        <v>0</v>
      </c>
    </row>
    <row r="760" spans="1:21" s="59" customFormat="1" ht="15.75">
      <c r="A760" s="769"/>
      <c r="B760" s="656"/>
      <c r="C760" s="404"/>
      <c r="D760" s="641"/>
      <c r="E760" s="405"/>
      <c r="F760" s="690"/>
      <c r="G760" s="679"/>
      <c r="H760" s="679"/>
      <c r="I760" s="679"/>
      <c r="J760" s="679"/>
      <c r="K760" s="679"/>
      <c r="L760" s="679"/>
      <c r="M760" s="679"/>
      <c r="N760" s="679"/>
      <c r="O760" s="679"/>
      <c r="P760" s="679"/>
      <c r="Q760" s="679"/>
      <c r="R760" s="679"/>
      <c r="S760" s="442"/>
      <c r="T760" s="442"/>
      <c r="U760" s="454"/>
    </row>
    <row r="761" spans="1:21" s="288" customFormat="1" ht="15.75">
      <c r="A761" s="417" t="s">
        <v>725</v>
      </c>
      <c r="B761" s="693" t="s">
        <v>726</v>
      </c>
      <c r="C761" s="427"/>
      <c r="D761" s="398"/>
      <c r="E761" s="399"/>
      <c r="F761" s="666"/>
      <c r="G761" s="666"/>
      <c r="H761" s="668">
        <f>TRUNC(0.01*H$583)</f>
        <v>11</v>
      </c>
      <c r="I761" s="668"/>
      <c r="J761" s="668"/>
      <c r="K761" s="668">
        <f>TRUNC(0.01*K$583)</f>
        <v>11</v>
      </c>
      <c r="L761" s="668">
        <f>TRUNC(0.109*L$583)</f>
        <v>251</v>
      </c>
      <c r="M761" s="668">
        <f>TRUNC(0.15*M$583)</f>
        <v>173</v>
      </c>
      <c r="N761" s="666"/>
      <c r="O761" s="666"/>
      <c r="P761" s="666"/>
      <c r="Q761" s="668"/>
      <c r="R761" s="666"/>
      <c r="S761" s="400">
        <v>0</v>
      </c>
      <c r="T761" s="400">
        <v>0</v>
      </c>
      <c r="U761" s="400">
        <v>0</v>
      </c>
    </row>
    <row r="762" spans="1:21" s="59" customFormat="1" ht="15.75">
      <c r="A762" s="769" t="s">
        <v>727</v>
      </c>
      <c r="B762" s="658" t="s">
        <v>326</v>
      </c>
      <c r="C762" s="404"/>
      <c r="D762" s="641" t="s">
        <v>890</v>
      </c>
      <c r="E762" s="405"/>
      <c r="F762" s="692"/>
      <c r="G762" s="688"/>
      <c r="H762" s="688">
        <f>0.5*$H$761</f>
        <v>5.5</v>
      </c>
      <c r="I762" s="688"/>
      <c r="J762" s="688"/>
      <c r="K762" s="688"/>
      <c r="L762" s="688">
        <f t="shared" ref="L762:L767" si="341">0.15*$L$761</f>
        <v>37.65</v>
      </c>
      <c r="M762" s="688">
        <f>0.15*$M$761</f>
        <v>25.95</v>
      </c>
      <c r="N762" s="688"/>
      <c r="O762" s="688"/>
      <c r="P762" s="688"/>
      <c r="Q762" s="688"/>
      <c r="R762" s="688"/>
      <c r="S762" s="689"/>
      <c r="T762" s="689"/>
      <c r="U762" s="457"/>
    </row>
    <row r="763" spans="1:21" s="59" customFormat="1" ht="15.75">
      <c r="A763" s="769" t="s">
        <v>728</v>
      </c>
      <c r="B763" s="656" t="s">
        <v>135</v>
      </c>
      <c r="C763" s="404"/>
      <c r="D763" s="641" t="s">
        <v>890</v>
      </c>
      <c r="E763" s="405"/>
      <c r="F763" s="692"/>
      <c r="G763" s="688"/>
      <c r="H763" s="688">
        <f>0.5*$H$761</f>
        <v>5.5</v>
      </c>
      <c r="I763" s="688"/>
      <c r="J763" s="688"/>
      <c r="K763" s="688"/>
      <c r="L763" s="688">
        <f t="shared" si="341"/>
        <v>37.65</v>
      </c>
      <c r="M763" s="688">
        <f>0.15*$M$761</f>
        <v>25.95</v>
      </c>
      <c r="N763" s="688"/>
      <c r="O763" s="688"/>
      <c r="P763" s="688"/>
      <c r="Q763" s="688"/>
      <c r="R763" s="688"/>
      <c r="S763" s="689"/>
      <c r="T763" s="689"/>
      <c r="U763" s="457"/>
    </row>
    <row r="764" spans="1:21" s="59" customFormat="1" ht="15.75">
      <c r="A764" s="769" t="s">
        <v>729</v>
      </c>
      <c r="B764" s="656" t="s">
        <v>112</v>
      </c>
      <c r="C764" s="404"/>
      <c r="D764" s="641" t="s">
        <v>890</v>
      </c>
      <c r="E764" s="405"/>
      <c r="F764" s="692"/>
      <c r="G764" s="688"/>
      <c r="H764" s="688"/>
      <c r="I764" s="688"/>
      <c r="J764" s="688"/>
      <c r="K764" s="688"/>
      <c r="L764" s="688">
        <f t="shared" si="341"/>
        <v>37.65</v>
      </c>
      <c r="M764" s="688">
        <f>0.15*$M$761</f>
        <v>25.95</v>
      </c>
      <c r="N764" s="688"/>
      <c r="O764" s="688"/>
      <c r="P764" s="688"/>
      <c r="Q764" s="688"/>
      <c r="R764" s="688"/>
      <c r="S764" s="689"/>
      <c r="T764" s="689"/>
      <c r="U764" s="457"/>
    </row>
    <row r="765" spans="1:21" s="389" customFormat="1" ht="15.75">
      <c r="A765" s="769" t="s">
        <v>730</v>
      </c>
      <c r="B765" s="656" t="s">
        <v>152</v>
      </c>
      <c r="C765" s="404"/>
      <c r="D765" s="641" t="s">
        <v>890</v>
      </c>
      <c r="E765" s="405"/>
      <c r="F765" s="692"/>
      <c r="G765" s="688"/>
      <c r="H765" s="688"/>
      <c r="I765" s="688"/>
      <c r="J765" s="688"/>
      <c r="K765" s="688"/>
      <c r="L765" s="688">
        <f t="shared" si="341"/>
        <v>37.65</v>
      </c>
      <c r="M765" s="688">
        <f>0.15*$M$761</f>
        <v>25.95</v>
      </c>
      <c r="N765" s="688"/>
      <c r="O765" s="688"/>
      <c r="P765" s="688"/>
      <c r="Q765" s="688"/>
      <c r="R765" s="688"/>
      <c r="S765" s="689"/>
      <c r="T765" s="689"/>
      <c r="U765" s="457"/>
    </row>
    <row r="766" spans="1:21" s="59" customFormat="1" ht="15.75">
      <c r="A766" s="769" t="s">
        <v>731</v>
      </c>
      <c r="B766" s="656" t="s">
        <v>105</v>
      </c>
      <c r="C766" s="404"/>
      <c r="D766" s="641" t="s">
        <v>890</v>
      </c>
      <c r="E766" s="405"/>
      <c r="F766" s="692"/>
      <c r="G766" s="688"/>
      <c r="H766" s="688"/>
      <c r="I766" s="688"/>
      <c r="J766" s="688"/>
      <c r="K766" s="688">
        <f>0.5*$K$761</f>
        <v>5.5</v>
      </c>
      <c r="L766" s="688">
        <f t="shared" si="341"/>
        <v>37.65</v>
      </c>
      <c r="M766" s="688">
        <f>0.15*$M$761</f>
        <v>25.95</v>
      </c>
      <c r="N766" s="688"/>
      <c r="O766" s="688"/>
      <c r="P766" s="688"/>
      <c r="Q766" s="688"/>
      <c r="R766" s="688"/>
      <c r="S766" s="689"/>
      <c r="T766" s="689"/>
      <c r="U766" s="457"/>
    </row>
    <row r="767" spans="1:21" s="59" customFormat="1" ht="15.75">
      <c r="A767" s="769" t="s">
        <v>732</v>
      </c>
      <c r="B767" s="656" t="s">
        <v>595</v>
      </c>
      <c r="C767" s="404"/>
      <c r="D767" s="641" t="s">
        <v>890</v>
      </c>
      <c r="E767" s="405"/>
      <c r="F767" s="692"/>
      <c r="G767" s="688"/>
      <c r="H767" s="688"/>
      <c r="I767" s="688"/>
      <c r="J767" s="688"/>
      <c r="K767" s="688">
        <f>0.5*$K$761</f>
        <v>5.5</v>
      </c>
      <c r="L767" s="688">
        <f t="shared" si="341"/>
        <v>37.65</v>
      </c>
      <c r="M767" s="688">
        <f>0.1*$M$761</f>
        <v>17.3</v>
      </c>
      <c r="N767" s="688"/>
      <c r="O767" s="688"/>
      <c r="P767" s="688"/>
      <c r="Q767" s="688"/>
      <c r="R767" s="688"/>
      <c r="S767" s="689"/>
      <c r="T767" s="689"/>
      <c r="U767" s="457"/>
    </row>
    <row r="768" spans="1:21" s="59" customFormat="1" ht="15.75">
      <c r="A768" s="769" t="s">
        <v>733</v>
      </c>
      <c r="B768" s="656" t="s">
        <v>597</v>
      </c>
      <c r="C768" s="396"/>
      <c r="D768" s="641" t="s">
        <v>890</v>
      </c>
      <c r="E768" s="397"/>
      <c r="F768" s="455"/>
      <c r="G768" s="687"/>
      <c r="H768" s="688"/>
      <c r="I768" s="687"/>
      <c r="J768" s="687"/>
      <c r="K768" s="688"/>
      <c r="L768" s="688"/>
      <c r="M768" s="688">
        <f>0.05*$M$761</f>
        <v>8.65</v>
      </c>
      <c r="N768" s="456"/>
      <c r="O768" s="456"/>
      <c r="P768" s="456"/>
      <c r="Q768" s="456"/>
      <c r="R768" s="456"/>
      <c r="S768" s="453"/>
      <c r="T768" s="453"/>
      <c r="U768" s="457"/>
    </row>
    <row r="769" spans="1:21" s="59" customFormat="1" ht="15.75">
      <c r="A769" s="769" t="s">
        <v>734</v>
      </c>
      <c r="B769" s="656" t="s">
        <v>150</v>
      </c>
      <c r="C769" s="396"/>
      <c r="D769" s="641" t="s">
        <v>890</v>
      </c>
      <c r="E769" s="397"/>
      <c r="F769" s="455"/>
      <c r="G769" s="687"/>
      <c r="H769" s="688"/>
      <c r="I769" s="687"/>
      <c r="J769" s="687"/>
      <c r="K769" s="687"/>
      <c r="L769" s="688">
        <f>0.1*$L$761</f>
        <v>25.1</v>
      </c>
      <c r="M769" s="688">
        <f>0.1*$M$761</f>
        <v>17.3</v>
      </c>
      <c r="N769" s="456"/>
      <c r="O769" s="456"/>
      <c r="P769" s="456"/>
      <c r="Q769" s="456"/>
      <c r="R769" s="456"/>
      <c r="S769" s="453"/>
      <c r="T769" s="453"/>
      <c r="U769" s="457"/>
    </row>
    <row r="770" spans="1:21" s="284" customFormat="1" ht="15.75">
      <c r="A770" s="769"/>
      <c r="B770" s="656"/>
      <c r="C770" s="404"/>
      <c r="D770" s="641"/>
      <c r="E770" s="405"/>
      <c r="F770" s="672">
        <f t="shared" ref="F770:U770" si="342">F761-SUM(F762:F769)</f>
        <v>0</v>
      </c>
      <c r="G770" s="672">
        <f t="shared" si="342"/>
        <v>0</v>
      </c>
      <c r="H770" s="672">
        <f t="shared" si="342"/>
        <v>0</v>
      </c>
      <c r="I770" s="672">
        <f t="shared" si="342"/>
        <v>0</v>
      </c>
      <c r="J770" s="672">
        <f t="shared" si="342"/>
        <v>0</v>
      </c>
      <c r="K770" s="672">
        <f t="shared" si="342"/>
        <v>0</v>
      </c>
      <c r="L770" s="672">
        <f t="shared" si="342"/>
        <v>0</v>
      </c>
      <c r="M770" s="672">
        <f t="shared" si="342"/>
        <v>0</v>
      </c>
      <c r="N770" s="672">
        <f t="shared" si="342"/>
        <v>0</v>
      </c>
      <c r="O770" s="672">
        <f t="shared" si="342"/>
        <v>0</v>
      </c>
      <c r="P770" s="672"/>
      <c r="Q770" s="672">
        <f t="shared" si="342"/>
        <v>0</v>
      </c>
      <c r="R770" s="672">
        <f t="shared" si="342"/>
        <v>0</v>
      </c>
      <c r="S770" s="672">
        <f t="shared" si="342"/>
        <v>0</v>
      </c>
      <c r="T770" s="672">
        <f t="shared" si="342"/>
        <v>0</v>
      </c>
      <c r="U770" s="672">
        <f t="shared" si="342"/>
        <v>0</v>
      </c>
    </row>
    <row r="771" spans="1:21" s="59" customFormat="1" ht="15.75">
      <c r="A771" s="769"/>
      <c r="B771" s="656"/>
      <c r="C771" s="404"/>
      <c r="D771" s="641"/>
      <c r="E771" s="405"/>
      <c r="F771" s="690"/>
      <c r="G771" s="679"/>
      <c r="H771" s="679"/>
      <c r="I771" s="679"/>
      <c r="J771" s="679"/>
      <c r="K771" s="679"/>
      <c r="L771" s="679"/>
      <c r="M771" s="679"/>
      <c r="N771" s="679"/>
      <c r="O771" s="679"/>
      <c r="P771" s="679"/>
      <c r="Q771" s="679"/>
      <c r="R771" s="679"/>
      <c r="S771" s="442"/>
      <c r="T771" s="442"/>
      <c r="U771" s="454"/>
    </row>
    <row r="772" spans="1:21" s="288" customFormat="1" ht="15.75">
      <c r="A772" s="417" t="s">
        <v>735</v>
      </c>
      <c r="B772" s="693" t="s">
        <v>216</v>
      </c>
      <c r="C772" s="427"/>
      <c r="D772" s="398"/>
      <c r="E772" s="399"/>
      <c r="F772" s="666">
        <f>TRUNC(0.004*F$583)</f>
        <v>10</v>
      </c>
      <c r="G772" s="666"/>
      <c r="H772" s="668">
        <f>TRUNC(0.01*H$583)</f>
        <v>11</v>
      </c>
      <c r="I772" s="668"/>
      <c r="J772" s="668"/>
      <c r="K772" s="668">
        <f>TRUNC(0.01*K$583)</f>
        <v>11</v>
      </c>
      <c r="L772" s="668">
        <f>TRUNC(0.05*L$583)</f>
        <v>115</v>
      </c>
      <c r="M772" s="668">
        <f>TRUNC(0.05*M$583)</f>
        <v>57</v>
      </c>
      <c r="N772" s="666"/>
      <c r="O772" s="666"/>
      <c r="P772" s="666"/>
      <c r="Q772" s="668">
        <f>TRUNC(0.02*Q$583)</f>
        <v>69</v>
      </c>
      <c r="R772" s="668">
        <f>TRUNC(0.02*R$583)</f>
        <v>69</v>
      </c>
      <c r="S772" s="400">
        <v>0</v>
      </c>
      <c r="T772" s="400">
        <v>0</v>
      </c>
      <c r="U772" s="400">
        <v>0</v>
      </c>
    </row>
    <row r="773" spans="1:21" s="59" customFormat="1" ht="15.75">
      <c r="A773" s="657" t="s">
        <v>736</v>
      </c>
      <c r="B773" s="658" t="s">
        <v>326</v>
      </c>
      <c r="C773" s="404"/>
      <c r="D773" s="641" t="s">
        <v>890</v>
      </c>
      <c r="E773" s="405"/>
      <c r="F773" s="692">
        <f>0.5*$F$772</f>
        <v>5</v>
      </c>
      <c r="G773" s="688"/>
      <c r="H773" s="688">
        <f>0.5*$H$772</f>
        <v>5.5</v>
      </c>
      <c r="I773" s="688"/>
      <c r="J773" s="688"/>
      <c r="K773" s="688"/>
      <c r="L773" s="688">
        <f t="shared" ref="L773:L778" si="343">0.15*$L$772</f>
        <v>17.25</v>
      </c>
      <c r="M773" s="688">
        <f t="shared" ref="M773:M778" si="344">0.15*$M$772</f>
        <v>8.5499999999999989</v>
      </c>
      <c r="N773" s="688"/>
      <c r="O773" s="688"/>
      <c r="P773" s="688"/>
      <c r="Q773" s="688"/>
      <c r="R773" s="688"/>
      <c r="S773" s="689"/>
      <c r="T773" s="689"/>
      <c r="U773" s="457"/>
    </row>
    <row r="774" spans="1:21" s="59" customFormat="1" ht="15.75">
      <c r="A774" s="657" t="s">
        <v>737</v>
      </c>
      <c r="B774" s="656" t="s">
        <v>135</v>
      </c>
      <c r="C774" s="404"/>
      <c r="D774" s="641" t="s">
        <v>890</v>
      </c>
      <c r="E774" s="405"/>
      <c r="F774" s="692">
        <f>0.5*$F$772</f>
        <v>5</v>
      </c>
      <c r="G774" s="688"/>
      <c r="H774" s="688">
        <f>0.5*$H$772</f>
        <v>5.5</v>
      </c>
      <c r="I774" s="688"/>
      <c r="J774" s="688"/>
      <c r="K774" s="688"/>
      <c r="L774" s="688">
        <f t="shared" si="343"/>
        <v>17.25</v>
      </c>
      <c r="M774" s="688">
        <f t="shared" si="344"/>
        <v>8.5499999999999989</v>
      </c>
      <c r="N774" s="688"/>
      <c r="O774" s="688"/>
      <c r="P774" s="688"/>
      <c r="Q774" s="688"/>
      <c r="R774" s="688"/>
      <c r="S774" s="689"/>
      <c r="T774" s="689"/>
      <c r="U774" s="457"/>
    </row>
    <row r="775" spans="1:21" s="392" customFormat="1" ht="15.75">
      <c r="A775" s="657" t="s">
        <v>738</v>
      </c>
      <c r="B775" s="658" t="s">
        <v>112</v>
      </c>
      <c r="C775" s="429"/>
      <c r="D775" s="430" t="s">
        <v>890</v>
      </c>
      <c r="E775" s="431"/>
      <c r="F775" s="692"/>
      <c r="G775" s="688"/>
      <c r="H775" s="688"/>
      <c r="I775" s="688"/>
      <c r="J775" s="688"/>
      <c r="K775" s="688"/>
      <c r="L775" s="688">
        <f t="shared" si="343"/>
        <v>17.25</v>
      </c>
      <c r="M775" s="688">
        <f t="shared" si="344"/>
        <v>8.5499999999999989</v>
      </c>
      <c r="N775" s="688"/>
      <c r="O775" s="688"/>
      <c r="P775" s="688"/>
      <c r="Q775" s="688"/>
      <c r="R775" s="688"/>
      <c r="S775" s="689"/>
      <c r="T775" s="689"/>
      <c r="U775" s="437"/>
    </row>
    <row r="776" spans="1:21" s="392" customFormat="1" ht="15.75">
      <c r="A776" s="657" t="s">
        <v>739</v>
      </c>
      <c r="B776" s="658" t="s">
        <v>152</v>
      </c>
      <c r="C776" s="429"/>
      <c r="D776" s="430" t="s">
        <v>890</v>
      </c>
      <c r="E776" s="431"/>
      <c r="F776" s="692"/>
      <c r="G776" s="688"/>
      <c r="H776" s="688"/>
      <c r="I776" s="688"/>
      <c r="J776" s="688"/>
      <c r="K776" s="688"/>
      <c r="L776" s="688">
        <f t="shared" si="343"/>
        <v>17.25</v>
      </c>
      <c r="M776" s="688">
        <f t="shared" si="344"/>
        <v>8.5499999999999989</v>
      </c>
      <c r="N776" s="688"/>
      <c r="O776" s="688"/>
      <c r="P776" s="688"/>
      <c r="Q776" s="688"/>
      <c r="R776" s="688"/>
      <c r="S776" s="689"/>
      <c r="T776" s="689"/>
      <c r="U776" s="437"/>
    </row>
    <row r="777" spans="1:21" s="392" customFormat="1" ht="15.75">
      <c r="A777" s="657" t="s">
        <v>740</v>
      </c>
      <c r="B777" s="658" t="s">
        <v>105</v>
      </c>
      <c r="C777" s="429"/>
      <c r="D777" s="430" t="s">
        <v>890</v>
      </c>
      <c r="E777" s="431"/>
      <c r="F777" s="692"/>
      <c r="G777" s="688"/>
      <c r="H777" s="688"/>
      <c r="I777" s="688"/>
      <c r="J777" s="688"/>
      <c r="K777" s="688">
        <f>0.5*$K$772</f>
        <v>5.5</v>
      </c>
      <c r="L777" s="688">
        <f t="shared" si="343"/>
        <v>17.25</v>
      </c>
      <c r="M777" s="688">
        <f t="shared" si="344"/>
        <v>8.5499999999999989</v>
      </c>
      <c r="N777" s="688"/>
      <c r="O777" s="688"/>
      <c r="P777" s="688"/>
      <c r="Q777" s="688">
        <f>0.25*$Q$772</f>
        <v>17.25</v>
      </c>
      <c r="R777" s="688">
        <f>0.25*$R$772</f>
        <v>17.25</v>
      </c>
      <c r="S777" s="689"/>
      <c r="T777" s="689"/>
      <c r="U777" s="437"/>
    </row>
    <row r="778" spans="1:21" s="392" customFormat="1" ht="15.75">
      <c r="A778" s="657" t="s">
        <v>741</v>
      </c>
      <c r="B778" s="658" t="s">
        <v>595</v>
      </c>
      <c r="C778" s="429"/>
      <c r="D778" s="430" t="s">
        <v>890</v>
      </c>
      <c r="E778" s="431"/>
      <c r="F778" s="692"/>
      <c r="G778" s="688"/>
      <c r="H778" s="688"/>
      <c r="I778" s="688"/>
      <c r="J778" s="688"/>
      <c r="K778" s="688">
        <f>0.5*$K$772</f>
        <v>5.5</v>
      </c>
      <c r="L778" s="688">
        <f t="shared" si="343"/>
        <v>17.25</v>
      </c>
      <c r="M778" s="688">
        <f t="shared" si="344"/>
        <v>8.5499999999999989</v>
      </c>
      <c r="N778" s="688"/>
      <c r="O778" s="688"/>
      <c r="P778" s="688"/>
      <c r="Q778" s="688">
        <f>0.25*$Q$772</f>
        <v>17.25</v>
      </c>
      <c r="R778" s="688">
        <f>0.25*$R$772</f>
        <v>17.25</v>
      </c>
      <c r="S778" s="689"/>
      <c r="T778" s="689"/>
      <c r="U778" s="437"/>
    </row>
    <row r="779" spans="1:21" s="59" customFormat="1" ht="15.75">
      <c r="A779" s="657" t="s">
        <v>742</v>
      </c>
      <c r="B779" s="656" t="s">
        <v>597</v>
      </c>
      <c r="C779" s="396"/>
      <c r="D779" s="641" t="s">
        <v>890</v>
      </c>
      <c r="E779" s="397"/>
      <c r="F779" s="455"/>
      <c r="G779" s="687"/>
      <c r="H779" s="687"/>
      <c r="I779" s="687"/>
      <c r="J779" s="687"/>
      <c r="K779" s="687"/>
      <c r="L779" s="688"/>
      <c r="M779" s="688"/>
      <c r="N779" s="688"/>
      <c r="O779" s="688"/>
      <c r="P779" s="688"/>
      <c r="Q779" s="688">
        <f>0.25*$Q$772</f>
        <v>17.25</v>
      </c>
      <c r="R779" s="688">
        <f>0.25*$R$772</f>
        <v>17.25</v>
      </c>
      <c r="S779" s="453"/>
      <c r="T779" s="453"/>
      <c r="U779" s="457"/>
    </row>
    <row r="780" spans="1:21" s="59" customFormat="1" ht="15.75">
      <c r="A780" s="657" t="s">
        <v>743</v>
      </c>
      <c r="B780" s="656" t="s">
        <v>150</v>
      </c>
      <c r="C780" s="396"/>
      <c r="D780" s="641" t="s">
        <v>890</v>
      </c>
      <c r="E780" s="397"/>
      <c r="F780" s="455"/>
      <c r="G780" s="687"/>
      <c r="H780" s="687"/>
      <c r="I780" s="687"/>
      <c r="J780" s="687"/>
      <c r="K780" s="687"/>
      <c r="L780" s="688">
        <f>0.1*$L$772</f>
        <v>11.5</v>
      </c>
      <c r="M780" s="688">
        <f>0.1*$M$772</f>
        <v>5.7</v>
      </c>
      <c r="N780" s="688"/>
      <c r="O780" s="688"/>
      <c r="P780" s="688"/>
      <c r="Q780" s="688">
        <f>0.25*$Q$772</f>
        <v>17.25</v>
      </c>
      <c r="R780" s="688">
        <f>0.25*$R$772</f>
        <v>17.25</v>
      </c>
      <c r="S780" s="453"/>
      <c r="T780" s="453"/>
      <c r="U780" s="457"/>
    </row>
    <row r="781" spans="1:21" s="284" customFormat="1" ht="15.75">
      <c r="A781" s="769"/>
      <c r="B781" s="656"/>
      <c r="C781" s="404"/>
      <c r="D781" s="641"/>
      <c r="E781" s="405"/>
      <c r="F781" s="672">
        <f t="shared" ref="F781:U781" si="345">F772-SUM(F773:F780)</f>
        <v>0</v>
      </c>
      <c r="G781" s="672">
        <f t="shared" si="345"/>
        <v>0</v>
      </c>
      <c r="H781" s="672">
        <f t="shared" si="345"/>
        <v>0</v>
      </c>
      <c r="I781" s="672">
        <f t="shared" si="345"/>
        <v>0</v>
      </c>
      <c r="J781" s="672">
        <f t="shared" si="345"/>
        <v>0</v>
      </c>
      <c r="K781" s="672">
        <f t="shared" si="345"/>
        <v>0</v>
      </c>
      <c r="L781" s="672">
        <f>L772-SUM(L773:L780)</f>
        <v>0</v>
      </c>
      <c r="M781" s="672">
        <f t="shared" si="345"/>
        <v>0</v>
      </c>
      <c r="N781" s="672">
        <f t="shared" si="345"/>
        <v>0</v>
      </c>
      <c r="O781" s="672">
        <f t="shared" si="345"/>
        <v>0</v>
      </c>
      <c r="P781" s="672"/>
      <c r="Q781" s="672">
        <f t="shared" si="345"/>
        <v>0</v>
      </c>
      <c r="R781" s="672">
        <f t="shared" si="345"/>
        <v>0</v>
      </c>
      <c r="S781" s="672">
        <f t="shared" si="345"/>
        <v>0</v>
      </c>
      <c r="T781" s="672">
        <f t="shared" si="345"/>
        <v>0</v>
      </c>
      <c r="U781" s="672">
        <f t="shared" si="345"/>
        <v>0</v>
      </c>
    </row>
    <row r="782" spans="1:21" s="59" customFormat="1" ht="15.75">
      <c r="A782" s="769"/>
      <c r="B782" s="656"/>
      <c r="C782" s="404"/>
      <c r="D782" s="641"/>
      <c r="E782" s="405"/>
      <c r="F782" s="690"/>
      <c r="G782" s="679"/>
      <c r="H782" s="679"/>
      <c r="I782" s="679"/>
      <c r="J782" s="679"/>
      <c r="K782" s="679"/>
      <c r="L782" s="679"/>
      <c r="M782" s="679"/>
      <c r="N782" s="679"/>
      <c r="O782" s="679"/>
      <c r="P782" s="679"/>
      <c r="Q782" s="679"/>
      <c r="R782" s="679"/>
      <c r="S782" s="442"/>
      <c r="T782" s="442"/>
      <c r="U782" s="454"/>
    </row>
    <row r="783" spans="1:21" s="288" customFormat="1" ht="15.75">
      <c r="A783" s="417" t="s">
        <v>744</v>
      </c>
      <c r="B783" s="693" t="s">
        <v>222</v>
      </c>
      <c r="C783" s="427"/>
      <c r="D783" s="398"/>
      <c r="E783" s="399"/>
      <c r="F783" s="666">
        <f>TRUNC(0.07*F$583)</f>
        <v>183</v>
      </c>
      <c r="G783" s="666">
        <f>TRUNC(0.05*G$583)</f>
        <v>57</v>
      </c>
      <c r="H783" s="668">
        <f>TRUNC(0.01*H$583)</f>
        <v>11</v>
      </c>
      <c r="I783" s="668"/>
      <c r="J783" s="668"/>
      <c r="K783" s="668">
        <f>TRUNC(0.01*K$583)</f>
        <v>11</v>
      </c>
      <c r="L783" s="668">
        <f>TRUNC(0.01*L$583)</f>
        <v>23</v>
      </c>
      <c r="M783" s="668">
        <f>TRUNC(0.01*M$583)</f>
        <v>11</v>
      </c>
      <c r="N783" s="666"/>
      <c r="O783" s="666"/>
      <c r="P783" s="666"/>
      <c r="Q783" s="668">
        <f>TRUNC(0.02*Q$583)</f>
        <v>69</v>
      </c>
      <c r="R783" s="668">
        <f>TRUNC(0.02*R$583)</f>
        <v>69</v>
      </c>
      <c r="S783" s="400">
        <v>0</v>
      </c>
      <c r="T783" s="400">
        <v>0</v>
      </c>
      <c r="U783" s="400">
        <v>0</v>
      </c>
    </row>
    <row r="784" spans="1:21" s="59" customFormat="1" ht="15.75">
      <c r="A784" s="769" t="s">
        <v>745</v>
      </c>
      <c r="B784" s="658" t="s">
        <v>326</v>
      </c>
      <c r="C784" s="404"/>
      <c r="D784" s="641" t="s">
        <v>890</v>
      </c>
      <c r="E784" s="405"/>
      <c r="F784" s="692">
        <f t="shared" ref="F784:F789" si="346">0.15*$F$783</f>
        <v>27.45</v>
      </c>
      <c r="G784" s="692">
        <f t="shared" ref="G784:G789" si="347">0.15*$G$783</f>
        <v>8.5499999999999989</v>
      </c>
      <c r="H784" s="692">
        <f>0.5*$H$783</f>
        <v>5.5</v>
      </c>
      <c r="I784" s="692"/>
      <c r="J784" s="692"/>
      <c r="K784" s="692"/>
      <c r="L784" s="692">
        <f>0.5*$L$783</f>
        <v>11.5</v>
      </c>
      <c r="M784" s="692">
        <f>0.5*$M$783</f>
        <v>5.5</v>
      </c>
      <c r="N784" s="692"/>
      <c r="O784" s="692"/>
      <c r="P784" s="692"/>
      <c r="Q784" s="692"/>
      <c r="R784" s="692"/>
      <c r="S784" s="692"/>
      <c r="T784" s="692"/>
      <c r="U784" s="692"/>
    </row>
    <row r="785" spans="1:21" s="392" customFormat="1" ht="15.75">
      <c r="A785" s="769" t="s">
        <v>746</v>
      </c>
      <c r="B785" s="658" t="s">
        <v>135</v>
      </c>
      <c r="C785" s="429"/>
      <c r="D785" s="430" t="s">
        <v>890</v>
      </c>
      <c r="E785" s="431"/>
      <c r="F785" s="692">
        <f t="shared" si="346"/>
        <v>27.45</v>
      </c>
      <c r="G785" s="692">
        <f t="shared" si="347"/>
        <v>8.5499999999999989</v>
      </c>
      <c r="H785" s="692">
        <f>0.5*$H$783</f>
        <v>5.5</v>
      </c>
      <c r="I785" s="692"/>
      <c r="J785" s="692"/>
      <c r="K785" s="692"/>
      <c r="L785" s="692"/>
      <c r="M785" s="692"/>
      <c r="N785" s="692"/>
      <c r="O785" s="692"/>
      <c r="P785" s="692"/>
      <c r="Q785" s="692"/>
      <c r="R785" s="692"/>
      <c r="S785" s="692"/>
      <c r="T785" s="692"/>
      <c r="U785" s="692"/>
    </row>
    <row r="786" spans="1:21" s="392" customFormat="1" ht="15.75">
      <c r="A786" s="769" t="s">
        <v>747</v>
      </c>
      <c r="B786" s="658" t="s">
        <v>112</v>
      </c>
      <c r="C786" s="429"/>
      <c r="D786" s="430" t="s">
        <v>890</v>
      </c>
      <c r="E786" s="431"/>
      <c r="F786" s="692">
        <f t="shared" si="346"/>
        <v>27.45</v>
      </c>
      <c r="G786" s="692">
        <f t="shared" si="347"/>
        <v>8.5499999999999989</v>
      </c>
      <c r="H786" s="692"/>
      <c r="I786" s="692"/>
      <c r="J786" s="692"/>
      <c r="K786" s="692"/>
      <c r="L786" s="692">
        <f>0.5*$L$783</f>
        <v>11.5</v>
      </c>
      <c r="M786" s="692">
        <f>0.5*$M$783</f>
        <v>5.5</v>
      </c>
      <c r="N786" s="692"/>
      <c r="O786" s="692"/>
      <c r="P786" s="692"/>
      <c r="Q786" s="692"/>
      <c r="R786" s="692"/>
      <c r="S786" s="692"/>
      <c r="T786" s="692"/>
      <c r="U786" s="692"/>
    </row>
    <row r="787" spans="1:21" s="392" customFormat="1" ht="15.75">
      <c r="A787" s="769" t="s">
        <v>748</v>
      </c>
      <c r="B787" s="658" t="s">
        <v>152</v>
      </c>
      <c r="C787" s="429"/>
      <c r="D787" s="430" t="s">
        <v>890</v>
      </c>
      <c r="E787" s="431"/>
      <c r="F787" s="692">
        <f t="shared" si="346"/>
        <v>27.45</v>
      </c>
      <c r="G787" s="692">
        <f t="shared" si="347"/>
        <v>8.5499999999999989</v>
      </c>
      <c r="H787" s="692"/>
      <c r="I787" s="692"/>
      <c r="J787" s="692"/>
      <c r="K787" s="692"/>
      <c r="L787" s="692"/>
      <c r="M787" s="692"/>
      <c r="N787" s="692"/>
      <c r="O787" s="692"/>
      <c r="P787" s="692"/>
      <c r="Q787" s="692"/>
      <c r="R787" s="692"/>
      <c r="S787" s="692"/>
      <c r="T787" s="692"/>
      <c r="U787" s="692"/>
    </row>
    <row r="788" spans="1:21" s="392" customFormat="1" ht="15.75">
      <c r="A788" s="769" t="s">
        <v>749</v>
      </c>
      <c r="B788" s="658" t="s">
        <v>105</v>
      </c>
      <c r="C788" s="429"/>
      <c r="D788" s="430" t="s">
        <v>890</v>
      </c>
      <c r="E788" s="431"/>
      <c r="F788" s="692">
        <f t="shared" si="346"/>
        <v>27.45</v>
      </c>
      <c r="G788" s="692">
        <f t="shared" si="347"/>
        <v>8.5499999999999989</v>
      </c>
      <c r="H788" s="692"/>
      <c r="I788" s="692"/>
      <c r="J788" s="692"/>
      <c r="K788" s="692">
        <f>0.5*$K$783</f>
        <v>5.5</v>
      </c>
      <c r="L788" s="692"/>
      <c r="M788" s="692"/>
      <c r="N788" s="692"/>
      <c r="O788" s="692"/>
      <c r="P788" s="692"/>
      <c r="Q788" s="692">
        <f>0.25*$Q$783</f>
        <v>17.25</v>
      </c>
      <c r="R788" s="692">
        <f>0.25*$R$783</f>
        <v>17.25</v>
      </c>
      <c r="S788" s="692"/>
      <c r="T788" s="692"/>
      <c r="U788" s="692"/>
    </row>
    <row r="789" spans="1:21" s="392" customFormat="1" ht="15.75">
      <c r="A789" s="769" t="s">
        <v>750</v>
      </c>
      <c r="B789" s="658" t="s">
        <v>595</v>
      </c>
      <c r="C789" s="429"/>
      <c r="D789" s="430" t="s">
        <v>890</v>
      </c>
      <c r="E789" s="431"/>
      <c r="F789" s="692">
        <f t="shared" si="346"/>
        <v>27.45</v>
      </c>
      <c r="G789" s="692">
        <f t="shared" si="347"/>
        <v>8.5499999999999989</v>
      </c>
      <c r="H789" s="692"/>
      <c r="I789" s="692"/>
      <c r="J789" s="692"/>
      <c r="K789" s="692">
        <f>0.5*$K$783</f>
        <v>5.5</v>
      </c>
      <c r="L789" s="692"/>
      <c r="M789" s="692"/>
      <c r="N789" s="692"/>
      <c r="O789" s="692"/>
      <c r="P789" s="692"/>
      <c r="Q789" s="692">
        <f>0.25*$Q$783</f>
        <v>17.25</v>
      </c>
      <c r="R789" s="692">
        <f>0.25*$R$783</f>
        <v>17.25</v>
      </c>
      <c r="S789" s="692"/>
      <c r="T789" s="692"/>
      <c r="U789" s="692"/>
    </row>
    <row r="790" spans="1:21" s="59" customFormat="1" ht="15.75">
      <c r="A790" s="769" t="s">
        <v>751</v>
      </c>
      <c r="B790" s="656" t="s">
        <v>597</v>
      </c>
      <c r="C790" s="396"/>
      <c r="D790" s="641" t="s">
        <v>890</v>
      </c>
      <c r="E790" s="397"/>
      <c r="F790" s="692"/>
      <c r="G790" s="692"/>
      <c r="H790" s="692"/>
      <c r="I790" s="692"/>
      <c r="J790" s="692"/>
      <c r="K790" s="692"/>
      <c r="L790" s="692"/>
      <c r="M790" s="692"/>
      <c r="N790" s="692"/>
      <c r="O790" s="692"/>
      <c r="P790" s="692"/>
      <c r="Q790" s="692">
        <f>0.25*$Q$783</f>
        <v>17.25</v>
      </c>
      <c r="R790" s="692">
        <f>0.25*$R$783</f>
        <v>17.25</v>
      </c>
      <c r="S790" s="692"/>
      <c r="T790" s="692"/>
      <c r="U790" s="692"/>
    </row>
    <row r="791" spans="1:21" s="59" customFormat="1" ht="15.75">
      <c r="A791" s="769" t="s">
        <v>752</v>
      </c>
      <c r="B791" s="656" t="s">
        <v>150</v>
      </c>
      <c r="C791" s="396"/>
      <c r="D791" s="641" t="s">
        <v>890</v>
      </c>
      <c r="E791" s="397"/>
      <c r="F791" s="692">
        <f>0.1*F783</f>
        <v>18.3</v>
      </c>
      <c r="G791" s="692">
        <f>0.1*$G$783</f>
        <v>5.7</v>
      </c>
      <c r="H791" s="692"/>
      <c r="I791" s="692"/>
      <c r="J791" s="692"/>
      <c r="K791" s="692"/>
      <c r="L791" s="692"/>
      <c r="M791" s="692"/>
      <c r="N791" s="692"/>
      <c r="O791" s="692"/>
      <c r="P791" s="692"/>
      <c r="Q791" s="692">
        <f>0.25*$Q$783</f>
        <v>17.25</v>
      </c>
      <c r="R791" s="692">
        <f>0.25*$R$783</f>
        <v>17.25</v>
      </c>
      <c r="S791" s="692"/>
      <c r="T791" s="692"/>
      <c r="U791" s="692"/>
    </row>
    <row r="792" spans="1:21" s="240" customFormat="1" ht="15.75">
      <c r="A792" s="365"/>
      <c r="B792" s="616"/>
      <c r="C792" s="320"/>
      <c r="D792" s="238"/>
      <c r="E792" s="239"/>
      <c r="F792" s="664">
        <f t="shared" ref="F792:U792" si="348">F783-SUM(F784:F791)</f>
        <v>0</v>
      </c>
      <c r="G792" s="664">
        <f t="shared" si="348"/>
        <v>0</v>
      </c>
      <c r="H792" s="664">
        <f t="shared" si="348"/>
        <v>0</v>
      </c>
      <c r="I792" s="664">
        <f t="shared" si="348"/>
        <v>0</v>
      </c>
      <c r="J792" s="664">
        <f t="shared" si="348"/>
        <v>0</v>
      </c>
      <c r="K792" s="664">
        <f t="shared" si="348"/>
        <v>0</v>
      </c>
      <c r="L792" s="664">
        <f t="shared" si="348"/>
        <v>0</v>
      </c>
      <c r="M792" s="664">
        <f t="shared" si="348"/>
        <v>0</v>
      </c>
      <c r="N792" s="664">
        <f t="shared" si="348"/>
        <v>0</v>
      </c>
      <c r="O792" s="664">
        <f t="shared" si="348"/>
        <v>0</v>
      </c>
      <c r="P792" s="664"/>
      <c r="Q792" s="664">
        <f t="shared" si="348"/>
        <v>0</v>
      </c>
      <c r="R792" s="664">
        <f t="shared" si="348"/>
        <v>0</v>
      </c>
      <c r="S792" s="664">
        <f t="shared" si="348"/>
        <v>0</v>
      </c>
      <c r="T792" s="664">
        <f t="shared" si="348"/>
        <v>0</v>
      </c>
      <c r="U792" s="664">
        <f t="shared" si="348"/>
        <v>0</v>
      </c>
    </row>
    <row r="793" spans="1:21" s="59" customFormat="1" ht="15.75">
      <c r="A793" s="769"/>
      <c r="B793" s="656"/>
      <c r="C793" s="404"/>
      <c r="D793" s="641"/>
      <c r="E793" s="405"/>
      <c r="F793" s="690"/>
      <c r="G793" s="679"/>
      <c r="H793" s="679"/>
      <c r="I793" s="679"/>
      <c r="J793" s="679"/>
      <c r="K793" s="679"/>
      <c r="L793" s="679"/>
      <c r="M793" s="679"/>
      <c r="N793" s="679"/>
      <c r="O793" s="679"/>
      <c r="P793" s="679"/>
      <c r="Q793" s="679"/>
      <c r="R793" s="679"/>
      <c r="S793" s="442"/>
      <c r="T793" s="442"/>
      <c r="U793" s="454"/>
    </row>
    <row r="794" spans="1:21" s="401" customFormat="1" ht="15.75">
      <c r="A794" s="417" t="s">
        <v>753</v>
      </c>
      <c r="B794" s="693" t="s">
        <v>231</v>
      </c>
      <c r="C794" s="427"/>
      <c r="D794" s="398"/>
      <c r="E794" s="399"/>
      <c r="F794" s="669">
        <f>TRUNC(0.08*F$583)</f>
        <v>209</v>
      </c>
      <c r="G794" s="669">
        <f>TRUNC(0.07*G$583)</f>
        <v>80</v>
      </c>
      <c r="H794" s="820">
        <f>TRUNC(0.16*H$583)</f>
        <v>184</v>
      </c>
      <c r="I794" s="820"/>
      <c r="J794" s="820"/>
      <c r="K794" s="820">
        <f>TRUNC(0.16*K$583)</f>
        <v>184</v>
      </c>
      <c r="L794" s="669"/>
      <c r="M794" s="669"/>
      <c r="N794" s="669"/>
      <c r="O794" s="669"/>
      <c r="P794" s="669"/>
      <c r="Q794" s="820">
        <f>TRUNC(0.02*Q$583)</f>
        <v>69</v>
      </c>
      <c r="R794" s="820">
        <f>TRUNC(0.02*R$583)</f>
        <v>69</v>
      </c>
      <c r="S794" s="400">
        <v>0</v>
      </c>
      <c r="T794" s="400">
        <v>0</v>
      </c>
      <c r="U794" s="400">
        <v>0</v>
      </c>
    </row>
    <row r="795" spans="1:21" s="432" customFormat="1" ht="15.75">
      <c r="A795" s="657" t="s">
        <v>754</v>
      </c>
      <c r="B795" s="658" t="s">
        <v>326</v>
      </c>
      <c r="C795" s="429"/>
      <c r="D795" s="430" t="s">
        <v>890</v>
      </c>
      <c r="E795" s="431"/>
      <c r="F795" s="690">
        <f t="shared" ref="F795:F800" si="349">0.15*$F$794</f>
        <v>31.349999999999998</v>
      </c>
      <c r="G795" s="690">
        <f t="shared" ref="G795:G800" si="350">0.15*$G$794</f>
        <v>12</v>
      </c>
      <c r="H795" s="690">
        <f>0.2*$H$794</f>
        <v>36.800000000000004</v>
      </c>
      <c r="I795" s="692"/>
      <c r="J795" s="692"/>
      <c r="K795" s="692">
        <f t="shared" ref="K795:K799" si="351">0.2*$K$794</f>
        <v>36.800000000000004</v>
      </c>
      <c r="L795" s="692"/>
      <c r="M795" s="692"/>
      <c r="N795" s="692"/>
      <c r="O795" s="692"/>
      <c r="P795" s="692"/>
      <c r="Q795" s="692"/>
      <c r="R795" s="692"/>
      <c r="S795" s="692"/>
      <c r="T795" s="692"/>
      <c r="U795" s="692"/>
    </row>
    <row r="796" spans="1:21" s="432" customFormat="1" ht="15.75">
      <c r="A796" s="657" t="s">
        <v>755</v>
      </c>
      <c r="B796" s="658" t="s">
        <v>135</v>
      </c>
      <c r="C796" s="429"/>
      <c r="D796" s="430" t="s">
        <v>890</v>
      </c>
      <c r="E796" s="431"/>
      <c r="F796" s="690">
        <f t="shared" si="349"/>
        <v>31.349999999999998</v>
      </c>
      <c r="G796" s="690">
        <f t="shared" si="350"/>
        <v>12</v>
      </c>
      <c r="H796" s="690">
        <f t="shared" ref="H796:H800" si="352">0.2*$H$794</f>
        <v>36.800000000000004</v>
      </c>
      <c r="I796" s="692"/>
      <c r="J796" s="692"/>
      <c r="K796" s="692">
        <f t="shared" si="351"/>
        <v>36.800000000000004</v>
      </c>
      <c r="L796" s="692"/>
      <c r="M796" s="692"/>
      <c r="N796" s="692"/>
      <c r="O796" s="692"/>
      <c r="P796" s="692"/>
      <c r="Q796" s="692"/>
      <c r="R796" s="692"/>
      <c r="S796" s="692"/>
      <c r="T796" s="692"/>
      <c r="U796" s="692"/>
    </row>
    <row r="797" spans="1:21" s="432" customFormat="1" ht="15.75">
      <c r="A797" s="657" t="s">
        <v>756</v>
      </c>
      <c r="B797" s="658" t="s">
        <v>112</v>
      </c>
      <c r="C797" s="429"/>
      <c r="D797" s="430" t="s">
        <v>890</v>
      </c>
      <c r="E797" s="431"/>
      <c r="F797" s="690">
        <f t="shared" si="349"/>
        <v>31.349999999999998</v>
      </c>
      <c r="G797" s="690">
        <f t="shared" si="350"/>
        <v>12</v>
      </c>
      <c r="H797" s="690">
        <f t="shared" si="352"/>
        <v>36.800000000000004</v>
      </c>
      <c r="I797" s="692"/>
      <c r="J797" s="692"/>
      <c r="K797" s="692">
        <f t="shared" si="351"/>
        <v>36.800000000000004</v>
      </c>
      <c r="L797" s="692"/>
      <c r="M797" s="692"/>
      <c r="N797" s="692"/>
      <c r="O797" s="692"/>
      <c r="P797" s="692"/>
      <c r="Q797" s="692"/>
      <c r="R797" s="692"/>
      <c r="S797" s="692"/>
      <c r="T797" s="692"/>
      <c r="U797" s="692"/>
    </row>
    <row r="798" spans="1:21" s="432" customFormat="1" ht="15.75">
      <c r="A798" s="657" t="s">
        <v>757</v>
      </c>
      <c r="B798" s="658" t="s">
        <v>152</v>
      </c>
      <c r="C798" s="429"/>
      <c r="D798" s="430" t="s">
        <v>890</v>
      </c>
      <c r="E798" s="431"/>
      <c r="F798" s="690">
        <f t="shared" si="349"/>
        <v>31.349999999999998</v>
      </c>
      <c r="G798" s="690">
        <f t="shared" si="350"/>
        <v>12</v>
      </c>
      <c r="H798" s="690"/>
      <c r="I798" s="692"/>
      <c r="J798" s="692"/>
      <c r="K798" s="692"/>
      <c r="L798" s="692"/>
      <c r="M798" s="692"/>
      <c r="N798" s="692"/>
      <c r="O798" s="692"/>
      <c r="P798" s="692"/>
      <c r="Q798" s="692"/>
      <c r="R798" s="692"/>
      <c r="S798" s="692"/>
      <c r="T798" s="692"/>
      <c r="U798" s="692"/>
    </row>
    <row r="799" spans="1:21" s="432" customFormat="1" ht="15.75">
      <c r="A799" s="657" t="s">
        <v>758</v>
      </c>
      <c r="B799" s="658" t="s">
        <v>105</v>
      </c>
      <c r="C799" s="434"/>
      <c r="D799" s="430" t="s">
        <v>890</v>
      </c>
      <c r="E799" s="435"/>
      <c r="F799" s="690">
        <f t="shared" si="349"/>
        <v>31.349999999999998</v>
      </c>
      <c r="G799" s="690">
        <f t="shared" si="350"/>
        <v>12</v>
      </c>
      <c r="H799" s="690">
        <f t="shared" si="352"/>
        <v>36.800000000000004</v>
      </c>
      <c r="I799" s="692"/>
      <c r="J799" s="692"/>
      <c r="K799" s="692">
        <f t="shared" si="351"/>
        <v>36.800000000000004</v>
      </c>
      <c r="L799" s="692"/>
      <c r="M799" s="692"/>
      <c r="N799" s="692"/>
      <c r="O799" s="692"/>
      <c r="P799" s="692"/>
      <c r="Q799" s="692">
        <f>0.25*$Q$794</f>
        <v>17.25</v>
      </c>
      <c r="R799" s="692">
        <f>0.25*$R$794</f>
        <v>17.25</v>
      </c>
      <c r="S799" s="692"/>
      <c r="T799" s="692"/>
      <c r="U799" s="692"/>
    </row>
    <row r="800" spans="1:21" s="432" customFormat="1" ht="15.75">
      <c r="A800" s="657" t="s">
        <v>759</v>
      </c>
      <c r="B800" s="658" t="s">
        <v>595</v>
      </c>
      <c r="C800" s="434"/>
      <c r="D800" s="430" t="s">
        <v>890</v>
      </c>
      <c r="E800" s="435"/>
      <c r="F800" s="690">
        <f t="shared" si="349"/>
        <v>31.349999999999998</v>
      </c>
      <c r="G800" s="690">
        <f t="shared" si="350"/>
        <v>12</v>
      </c>
      <c r="H800" s="690">
        <f t="shared" si="352"/>
        <v>36.800000000000004</v>
      </c>
      <c r="I800" s="692"/>
      <c r="J800" s="692"/>
      <c r="K800" s="692">
        <f>0.2*$K$794</f>
        <v>36.800000000000004</v>
      </c>
      <c r="L800" s="692"/>
      <c r="M800" s="692"/>
      <c r="N800" s="692"/>
      <c r="O800" s="692"/>
      <c r="P800" s="692"/>
      <c r="Q800" s="692">
        <f>0.25*$Q$794</f>
        <v>17.25</v>
      </c>
      <c r="R800" s="692">
        <f>0.25*$R$794</f>
        <v>17.25</v>
      </c>
      <c r="S800" s="692"/>
      <c r="T800" s="692"/>
      <c r="U800" s="692"/>
    </row>
    <row r="801" spans="1:21" s="432" customFormat="1" ht="15.75">
      <c r="A801" s="657" t="s">
        <v>760</v>
      </c>
      <c r="B801" s="658" t="s">
        <v>597</v>
      </c>
      <c r="C801" s="429"/>
      <c r="D801" s="430" t="s">
        <v>890</v>
      </c>
      <c r="E801" s="431"/>
      <c r="F801" s="690"/>
      <c r="G801" s="690"/>
      <c r="H801" s="690"/>
      <c r="I801" s="692"/>
      <c r="J801" s="692"/>
      <c r="K801" s="692"/>
      <c r="L801" s="692"/>
      <c r="M801" s="692"/>
      <c r="N801" s="692"/>
      <c r="O801" s="692"/>
      <c r="P801" s="692"/>
      <c r="Q801" s="692">
        <f>0.25*$Q$794</f>
        <v>17.25</v>
      </c>
      <c r="R801" s="692">
        <f>0.25*$R$794</f>
        <v>17.25</v>
      </c>
      <c r="S801" s="692"/>
      <c r="T801" s="692"/>
      <c r="U801" s="692"/>
    </row>
    <row r="802" spans="1:21" s="432" customFormat="1" ht="15.75">
      <c r="A802" s="657" t="s">
        <v>761</v>
      </c>
      <c r="B802" s="658" t="s">
        <v>150</v>
      </c>
      <c r="C802" s="429"/>
      <c r="D802" s="430" t="s">
        <v>890</v>
      </c>
      <c r="E802" s="431"/>
      <c r="F802" s="690">
        <f>0.1*$F$794</f>
        <v>20.900000000000002</v>
      </c>
      <c r="G802" s="690">
        <f>0.1*$G$794</f>
        <v>8</v>
      </c>
      <c r="H802" s="690"/>
      <c r="I802" s="692"/>
      <c r="J802" s="692"/>
      <c r="K802" s="692"/>
      <c r="L802" s="692"/>
      <c r="M802" s="692"/>
      <c r="N802" s="692"/>
      <c r="O802" s="692"/>
      <c r="P802" s="692"/>
      <c r="Q802" s="692">
        <f>0.25*$Q$794</f>
        <v>17.25</v>
      </c>
      <c r="R802" s="692">
        <f>0.25*$R$794</f>
        <v>17.25</v>
      </c>
      <c r="S802" s="692"/>
      <c r="T802" s="692"/>
      <c r="U802" s="692"/>
    </row>
    <row r="803" spans="1:21" s="425" customFormat="1" ht="15.75">
      <c r="A803" s="422"/>
      <c r="B803" s="615"/>
      <c r="C803" s="423"/>
      <c r="D803" s="424"/>
      <c r="E803" s="344"/>
      <c r="F803" s="664">
        <f t="shared" ref="F803:U803" si="353">F794-SUM(F795:F802)</f>
        <v>0</v>
      </c>
      <c r="G803" s="664">
        <f t="shared" si="353"/>
        <v>0</v>
      </c>
      <c r="H803" s="664">
        <f t="shared" si="353"/>
        <v>0</v>
      </c>
      <c r="I803" s="664">
        <f t="shared" si="353"/>
        <v>0</v>
      </c>
      <c r="J803" s="664">
        <f t="shared" si="353"/>
        <v>0</v>
      </c>
      <c r="K803" s="664">
        <f t="shared" si="353"/>
        <v>0</v>
      </c>
      <c r="L803" s="664">
        <f t="shared" si="353"/>
        <v>0</v>
      </c>
      <c r="M803" s="664">
        <f t="shared" si="353"/>
        <v>0</v>
      </c>
      <c r="N803" s="664">
        <f t="shared" si="353"/>
        <v>0</v>
      </c>
      <c r="O803" s="664">
        <f t="shared" si="353"/>
        <v>0</v>
      </c>
      <c r="P803" s="664"/>
      <c r="Q803" s="664">
        <f t="shared" si="353"/>
        <v>0</v>
      </c>
      <c r="R803" s="664">
        <f t="shared" si="353"/>
        <v>0</v>
      </c>
      <c r="S803" s="664">
        <f t="shared" si="353"/>
        <v>0</v>
      </c>
      <c r="T803" s="664">
        <f t="shared" si="353"/>
        <v>0</v>
      </c>
      <c r="U803" s="664">
        <f t="shared" si="353"/>
        <v>0</v>
      </c>
    </row>
    <row r="804" spans="1:21" s="59" customFormat="1" ht="15.75">
      <c r="A804" s="769"/>
      <c r="B804" s="656"/>
      <c r="C804" s="404"/>
      <c r="D804" s="641"/>
      <c r="E804" s="405"/>
      <c r="F804" s="690"/>
      <c r="G804" s="679"/>
      <c r="H804" s="679"/>
      <c r="I804" s="679"/>
      <c r="J804" s="679"/>
      <c r="K804" s="679"/>
      <c r="L804" s="679"/>
      <c r="M804" s="679"/>
      <c r="N804" s="679"/>
      <c r="O804" s="679"/>
      <c r="P804" s="679"/>
      <c r="Q804" s="679"/>
      <c r="R804" s="679"/>
      <c r="S804" s="442"/>
      <c r="T804" s="442"/>
      <c r="U804" s="454"/>
    </row>
    <row r="805" spans="1:21" s="401" customFormat="1" ht="15.75">
      <c r="A805" s="417" t="s">
        <v>762</v>
      </c>
      <c r="B805" s="693" t="s">
        <v>238</v>
      </c>
      <c r="C805" s="427"/>
      <c r="D805" s="398"/>
      <c r="E805" s="399"/>
      <c r="F805" s="669">
        <f>TRUNC(0.08*F$583)</f>
        <v>209</v>
      </c>
      <c r="G805" s="669">
        <f>TRUNC(0.05*G$583)</f>
        <v>57</v>
      </c>
      <c r="H805" s="820">
        <f>TRUNC(0.16*H$583)</f>
        <v>184</v>
      </c>
      <c r="I805" s="820"/>
      <c r="J805" s="820"/>
      <c r="K805" s="820">
        <f>TRUNC(0.16*K$583)</f>
        <v>184</v>
      </c>
      <c r="L805" s="669"/>
      <c r="M805" s="669"/>
      <c r="N805" s="669"/>
      <c r="O805" s="669"/>
      <c r="P805" s="669">
        <f>TRUNC(0.2*P$583)</f>
        <v>61</v>
      </c>
      <c r="Q805" s="820">
        <f>TRUNC(0.02*Q$583)</f>
        <v>69</v>
      </c>
      <c r="R805" s="820">
        <f>TRUNC(0.02*R$583)</f>
        <v>69</v>
      </c>
      <c r="S805" s="400">
        <v>0</v>
      </c>
      <c r="T805" s="400">
        <v>0</v>
      </c>
      <c r="U805" s="400">
        <v>0</v>
      </c>
    </row>
    <row r="806" spans="1:21" s="59" customFormat="1" ht="15.75">
      <c r="A806" s="769" t="s">
        <v>763</v>
      </c>
      <c r="B806" s="658" t="s">
        <v>326</v>
      </c>
      <c r="C806" s="404"/>
      <c r="D806" s="641" t="s">
        <v>890</v>
      </c>
      <c r="E806" s="405"/>
      <c r="F806" s="690">
        <f>0.2*$F$805</f>
        <v>41.800000000000004</v>
      </c>
      <c r="G806" s="690">
        <f>0.2*$G$805</f>
        <v>11.4</v>
      </c>
      <c r="H806" s="690">
        <f>0.2*$H$805</f>
        <v>36.800000000000004</v>
      </c>
      <c r="I806" s="692"/>
      <c r="J806" s="692"/>
      <c r="K806" s="692">
        <f t="shared" ref="K806:K810" si="354">0.2*$K$805</f>
        <v>36.800000000000004</v>
      </c>
      <c r="L806" s="692"/>
      <c r="M806" s="692"/>
      <c r="N806" s="692"/>
      <c r="O806" s="692"/>
      <c r="P806" s="692">
        <f>0.2*$P$805</f>
        <v>12.200000000000001</v>
      </c>
      <c r="Q806" s="692"/>
      <c r="R806" s="692"/>
      <c r="S806" s="692"/>
      <c r="T806" s="692"/>
      <c r="U806" s="692"/>
    </row>
    <row r="807" spans="1:21" s="59" customFormat="1" ht="15.75">
      <c r="A807" s="769" t="s">
        <v>764</v>
      </c>
      <c r="B807" s="658" t="s">
        <v>135</v>
      </c>
      <c r="C807" s="404"/>
      <c r="D807" s="641" t="s">
        <v>890</v>
      </c>
      <c r="E807" s="405"/>
      <c r="F807" s="690">
        <f t="shared" ref="F807:F813" si="355">0.1*$F$805</f>
        <v>20.900000000000002</v>
      </c>
      <c r="G807" s="690">
        <f t="shared" ref="G807:G813" si="356">0.1*$G$805</f>
        <v>5.7</v>
      </c>
      <c r="H807" s="690">
        <f>0.2*$H$805</f>
        <v>36.800000000000004</v>
      </c>
      <c r="I807" s="692"/>
      <c r="J807" s="692"/>
      <c r="K807" s="692">
        <f t="shared" si="354"/>
        <v>36.800000000000004</v>
      </c>
      <c r="L807" s="692"/>
      <c r="M807" s="692"/>
      <c r="N807" s="692"/>
      <c r="O807" s="692"/>
      <c r="P807" s="692">
        <f>0.2*$P$805</f>
        <v>12.200000000000001</v>
      </c>
      <c r="Q807" s="692"/>
      <c r="R807" s="692"/>
      <c r="S807" s="692"/>
      <c r="T807" s="692"/>
      <c r="U807" s="692"/>
    </row>
    <row r="808" spans="1:21" s="59" customFormat="1" ht="15.75">
      <c r="A808" s="769" t="s">
        <v>765</v>
      </c>
      <c r="B808" s="658" t="s">
        <v>112</v>
      </c>
      <c r="C808" s="404"/>
      <c r="D808" s="641" t="s">
        <v>890</v>
      </c>
      <c r="E808" s="405"/>
      <c r="F808" s="690">
        <f t="shared" si="355"/>
        <v>20.900000000000002</v>
      </c>
      <c r="G808" s="690">
        <f>0.2*$G$805</f>
        <v>11.4</v>
      </c>
      <c r="H808" s="690">
        <f t="shared" ref="H808:H811" si="357">0.2*$H$805</f>
        <v>36.800000000000004</v>
      </c>
      <c r="I808" s="692"/>
      <c r="J808" s="692"/>
      <c r="K808" s="692">
        <f t="shared" si="354"/>
        <v>36.800000000000004</v>
      </c>
      <c r="L808" s="692"/>
      <c r="M808" s="692"/>
      <c r="N808" s="692"/>
      <c r="O808" s="692"/>
      <c r="P808" s="692">
        <f>0.2*$P$805</f>
        <v>12.200000000000001</v>
      </c>
      <c r="Q808" s="692"/>
      <c r="R808" s="692"/>
      <c r="S808" s="692"/>
      <c r="T808" s="692"/>
      <c r="U808" s="692"/>
    </row>
    <row r="809" spans="1:21" s="59" customFormat="1" ht="15.75">
      <c r="A809" s="769" t="s">
        <v>766</v>
      </c>
      <c r="B809" s="658" t="s">
        <v>152</v>
      </c>
      <c r="C809" s="404"/>
      <c r="D809" s="641" t="s">
        <v>890</v>
      </c>
      <c r="E809" s="405"/>
      <c r="F809" s="690">
        <f t="shared" si="355"/>
        <v>20.900000000000002</v>
      </c>
      <c r="G809" s="690">
        <f t="shared" si="356"/>
        <v>5.7</v>
      </c>
      <c r="H809" s="690"/>
      <c r="I809" s="692"/>
      <c r="J809" s="692"/>
      <c r="K809" s="692"/>
      <c r="L809" s="692"/>
      <c r="M809" s="692"/>
      <c r="N809" s="692"/>
      <c r="O809" s="692"/>
      <c r="P809" s="692">
        <f>0.2*$P$805</f>
        <v>12.200000000000001</v>
      </c>
      <c r="Q809" s="692"/>
      <c r="R809" s="692"/>
      <c r="S809" s="692"/>
      <c r="T809" s="692"/>
      <c r="U809" s="692"/>
    </row>
    <row r="810" spans="1:21" s="392" customFormat="1" ht="15.75">
      <c r="A810" s="769" t="s">
        <v>767</v>
      </c>
      <c r="B810" s="658" t="s">
        <v>105</v>
      </c>
      <c r="C810" s="429"/>
      <c r="D810" s="430" t="s">
        <v>890</v>
      </c>
      <c r="E810" s="431"/>
      <c r="F810" s="690">
        <f>0.2*$F$805</f>
        <v>41.800000000000004</v>
      </c>
      <c r="G810" s="690">
        <f>0.2*$G$805</f>
        <v>11.4</v>
      </c>
      <c r="H810" s="690">
        <f t="shared" si="357"/>
        <v>36.800000000000004</v>
      </c>
      <c r="I810" s="692"/>
      <c r="J810" s="692"/>
      <c r="K810" s="692">
        <f t="shared" si="354"/>
        <v>36.800000000000004</v>
      </c>
      <c r="L810" s="692"/>
      <c r="M810" s="692"/>
      <c r="N810" s="692"/>
      <c r="O810" s="692"/>
      <c r="P810" s="692"/>
      <c r="Q810" s="692">
        <f>0.25*$Q$805</f>
        <v>17.25</v>
      </c>
      <c r="R810" s="692">
        <f>0.25*$R$805</f>
        <v>17.25</v>
      </c>
      <c r="S810" s="692"/>
      <c r="T810" s="692"/>
      <c r="U810" s="692"/>
    </row>
    <row r="811" spans="1:21" s="59" customFormat="1" ht="15.75">
      <c r="A811" s="769" t="s">
        <v>768</v>
      </c>
      <c r="B811" s="658" t="s">
        <v>595</v>
      </c>
      <c r="C811" s="396"/>
      <c r="D811" s="641" t="s">
        <v>890</v>
      </c>
      <c r="E811" s="397"/>
      <c r="F811" s="690">
        <f>0.2*$F$805</f>
        <v>41.800000000000004</v>
      </c>
      <c r="G811" s="690">
        <f t="shared" si="356"/>
        <v>5.7</v>
      </c>
      <c r="H811" s="690">
        <f t="shared" si="357"/>
        <v>36.800000000000004</v>
      </c>
      <c r="I811" s="692"/>
      <c r="J811" s="692"/>
      <c r="K811" s="692">
        <f>0.2*$K$805</f>
        <v>36.800000000000004</v>
      </c>
      <c r="L811" s="692"/>
      <c r="M811" s="692"/>
      <c r="N811" s="692"/>
      <c r="O811" s="692"/>
      <c r="P811" s="692">
        <f>0.2*$P$805</f>
        <v>12.200000000000001</v>
      </c>
      <c r="Q811" s="692">
        <f>0.25*$Q$805</f>
        <v>17.25</v>
      </c>
      <c r="R811" s="692">
        <f>0.25*$R$805</f>
        <v>17.25</v>
      </c>
      <c r="S811" s="692"/>
      <c r="T811" s="692"/>
      <c r="U811" s="692"/>
    </row>
    <row r="812" spans="1:21" s="59" customFormat="1" ht="15.75">
      <c r="A812" s="769" t="s">
        <v>769</v>
      </c>
      <c r="B812" s="656" t="s">
        <v>597</v>
      </c>
      <c r="C812" s="396"/>
      <c r="D812" s="641" t="s">
        <v>890</v>
      </c>
      <c r="E812" s="397"/>
      <c r="F812" s="690"/>
      <c r="G812" s="690"/>
      <c r="H812" s="690"/>
      <c r="I812" s="692"/>
      <c r="J812" s="692"/>
      <c r="K812" s="692"/>
      <c r="L812" s="692"/>
      <c r="M812" s="692"/>
      <c r="N812" s="692"/>
      <c r="O812" s="692"/>
      <c r="P812" s="692"/>
      <c r="Q812" s="692">
        <f>0.25*$Q$805</f>
        <v>17.25</v>
      </c>
      <c r="R812" s="692">
        <f>0.25*$R$805</f>
        <v>17.25</v>
      </c>
      <c r="S812" s="692"/>
      <c r="T812" s="692"/>
      <c r="U812" s="692"/>
    </row>
    <row r="813" spans="1:21" s="59" customFormat="1" ht="15.75">
      <c r="A813" s="769" t="s">
        <v>770</v>
      </c>
      <c r="B813" s="656" t="s">
        <v>150</v>
      </c>
      <c r="C813" s="404"/>
      <c r="D813" s="641" t="s">
        <v>890</v>
      </c>
      <c r="E813" s="405"/>
      <c r="F813" s="690">
        <f t="shared" si="355"/>
        <v>20.900000000000002</v>
      </c>
      <c r="G813" s="690">
        <f t="shared" si="356"/>
        <v>5.7</v>
      </c>
      <c r="H813" s="690"/>
      <c r="I813" s="692"/>
      <c r="J813" s="692"/>
      <c r="K813" s="692"/>
      <c r="L813" s="692"/>
      <c r="M813" s="692"/>
      <c r="N813" s="692"/>
      <c r="O813" s="692"/>
      <c r="P813" s="692"/>
      <c r="Q813" s="692">
        <f>0.25*$Q$805</f>
        <v>17.25</v>
      </c>
      <c r="R813" s="692">
        <f>0.25*$R$805</f>
        <v>17.25</v>
      </c>
      <c r="S813" s="692"/>
      <c r="T813" s="692"/>
      <c r="U813" s="692"/>
    </row>
    <row r="814" spans="1:21" s="240" customFormat="1" ht="15.75">
      <c r="A814" s="365"/>
      <c r="B814" s="616"/>
      <c r="C814" s="320"/>
      <c r="D814" s="238"/>
      <c r="E814" s="239"/>
      <c r="F814" s="664">
        <f t="shared" ref="F814:U814" si="358">F805-SUM(F806:F813)</f>
        <v>0</v>
      </c>
      <c r="G814" s="664">
        <f t="shared" si="358"/>
        <v>0</v>
      </c>
      <c r="H814" s="664">
        <f t="shared" si="358"/>
        <v>0</v>
      </c>
      <c r="I814" s="664">
        <f t="shared" si="358"/>
        <v>0</v>
      </c>
      <c r="J814" s="664">
        <f t="shared" si="358"/>
        <v>0</v>
      </c>
      <c r="K814" s="664">
        <f t="shared" si="358"/>
        <v>0</v>
      </c>
      <c r="L814" s="664">
        <f t="shared" si="358"/>
        <v>0</v>
      </c>
      <c r="M814" s="664">
        <f t="shared" si="358"/>
        <v>0</v>
      </c>
      <c r="N814" s="664">
        <f t="shared" si="358"/>
        <v>0</v>
      </c>
      <c r="O814" s="664">
        <f t="shared" si="358"/>
        <v>0</v>
      </c>
      <c r="P814" s="664">
        <f t="shared" si="358"/>
        <v>0</v>
      </c>
      <c r="Q814" s="664">
        <f t="shared" si="358"/>
        <v>0</v>
      </c>
      <c r="R814" s="664">
        <f t="shared" si="358"/>
        <v>0</v>
      </c>
      <c r="S814" s="664">
        <f t="shared" si="358"/>
        <v>0</v>
      </c>
      <c r="T814" s="664">
        <f t="shared" si="358"/>
        <v>0</v>
      </c>
      <c r="U814" s="664">
        <f t="shared" si="358"/>
        <v>0</v>
      </c>
    </row>
    <row r="815" spans="1:21" s="59" customFormat="1" ht="15.75">
      <c r="A815" s="769"/>
      <c r="B815" s="656"/>
      <c r="C815" s="404"/>
      <c r="D815" s="641"/>
      <c r="E815" s="405"/>
      <c r="F815" s="690"/>
      <c r="G815" s="679"/>
      <c r="H815" s="679"/>
      <c r="I815" s="679"/>
      <c r="J815" s="679"/>
      <c r="K815" s="679"/>
      <c r="L815" s="679"/>
      <c r="M815" s="679"/>
      <c r="N815" s="679"/>
      <c r="O815" s="679"/>
      <c r="P815" s="679"/>
      <c r="Q815" s="679"/>
      <c r="R815" s="679"/>
      <c r="S815" s="442"/>
      <c r="T815" s="442"/>
      <c r="U815" s="454"/>
    </row>
    <row r="816" spans="1:21" s="288" customFormat="1" ht="15.75">
      <c r="A816" s="417" t="s">
        <v>771</v>
      </c>
      <c r="B816" s="693" t="s">
        <v>243</v>
      </c>
      <c r="C816" s="427"/>
      <c r="D816" s="398"/>
      <c r="E816" s="399"/>
      <c r="F816" s="666">
        <f>TRUNC(0.02*F$583)</f>
        <v>52</v>
      </c>
      <c r="G816" s="666">
        <f>TRUNC(0.02*G$583)</f>
        <v>23</v>
      </c>
      <c r="H816" s="668">
        <f>TRUNC(0.009*H$583)</f>
        <v>10</v>
      </c>
      <c r="I816" s="668"/>
      <c r="J816" s="668"/>
      <c r="K816" s="668">
        <f>TRUNC(0.01*K$583)</f>
        <v>11</v>
      </c>
      <c r="L816" s="666"/>
      <c r="M816" s="666"/>
      <c r="N816" s="666"/>
      <c r="O816" s="666"/>
      <c r="P816" s="666">
        <f>TRUNC(0.25*P$583)</f>
        <v>77</v>
      </c>
      <c r="Q816" s="668">
        <f>TRUNC(0.02*Q$583)</f>
        <v>69</v>
      </c>
      <c r="R816" s="668">
        <f>TRUNC(0.02*R$583)</f>
        <v>69</v>
      </c>
      <c r="S816" s="400">
        <v>0</v>
      </c>
      <c r="T816" s="400">
        <v>0</v>
      </c>
      <c r="U816" s="400">
        <v>0</v>
      </c>
    </row>
    <row r="817" spans="1:21" s="59" customFormat="1" ht="15.75">
      <c r="A817" s="769" t="s">
        <v>772</v>
      </c>
      <c r="B817" s="658" t="s">
        <v>326</v>
      </c>
      <c r="C817" s="404"/>
      <c r="D817" s="641" t="s">
        <v>890</v>
      </c>
      <c r="E817" s="405"/>
      <c r="F817" s="690">
        <f>0.2*$F$816</f>
        <v>10.4</v>
      </c>
      <c r="G817" s="690">
        <f>0.1*$G$816</f>
        <v>2.3000000000000003</v>
      </c>
      <c r="H817" s="690"/>
      <c r="I817" s="692"/>
      <c r="J817" s="692"/>
      <c r="K817" s="692"/>
      <c r="L817" s="692"/>
      <c r="M817" s="692"/>
      <c r="N817" s="692"/>
      <c r="O817" s="692"/>
      <c r="P817" s="692">
        <f>0.2*$P$816</f>
        <v>15.4</v>
      </c>
      <c r="Q817" s="692"/>
      <c r="R817" s="692"/>
      <c r="S817" s="692"/>
      <c r="T817" s="692"/>
      <c r="U817" s="690"/>
    </row>
    <row r="818" spans="1:21" s="59" customFormat="1" ht="15.75">
      <c r="A818" s="769" t="s">
        <v>773</v>
      </c>
      <c r="B818" s="658" t="s">
        <v>135</v>
      </c>
      <c r="C818" s="404"/>
      <c r="D818" s="641" t="s">
        <v>890</v>
      </c>
      <c r="E818" s="405"/>
      <c r="F818" s="690">
        <f t="shared" ref="F818:F824" si="359">0.1*$F$816</f>
        <v>5.2</v>
      </c>
      <c r="G818" s="690">
        <f t="shared" ref="G818:G824" si="360">0.1*$G$816</f>
        <v>2.3000000000000003</v>
      </c>
      <c r="H818" s="690">
        <f>0.5*$H$816</f>
        <v>5</v>
      </c>
      <c r="I818" s="692"/>
      <c r="J818" s="692"/>
      <c r="K818" s="692"/>
      <c r="L818" s="692"/>
      <c r="M818" s="692"/>
      <c r="N818" s="692"/>
      <c r="O818" s="692"/>
      <c r="P818" s="692">
        <f>0.2*$P$816</f>
        <v>15.4</v>
      </c>
      <c r="Q818" s="692"/>
      <c r="R818" s="692"/>
      <c r="S818" s="692"/>
      <c r="T818" s="692"/>
      <c r="U818" s="690"/>
    </row>
    <row r="819" spans="1:21" s="392" customFormat="1" ht="15.75">
      <c r="A819" s="769" t="s">
        <v>774</v>
      </c>
      <c r="B819" s="658" t="s">
        <v>112</v>
      </c>
      <c r="C819" s="429"/>
      <c r="D819" s="430" t="s">
        <v>890</v>
      </c>
      <c r="E819" s="431"/>
      <c r="F819" s="690">
        <f t="shared" si="359"/>
        <v>5.2</v>
      </c>
      <c r="G819" s="690">
        <f>0.2*$G$816</f>
        <v>4.6000000000000005</v>
      </c>
      <c r="H819" s="690">
        <f>0.5*$H$816</f>
        <v>5</v>
      </c>
      <c r="I819" s="692"/>
      <c r="J819" s="692"/>
      <c r="K819" s="692"/>
      <c r="L819" s="692"/>
      <c r="M819" s="692"/>
      <c r="N819" s="692"/>
      <c r="O819" s="692"/>
      <c r="P819" s="692"/>
      <c r="Q819" s="692"/>
      <c r="R819" s="692"/>
      <c r="S819" s="692"/>
      <c r="T819" s="692"/>
      <c r="U819" s="690"/>
    </row>
    <row r="820" spans="1:21" s="392" customFormat="1" ht="15.75">
      <c r="A820" s="769" t="s">
        <v>775</v>
      </c>
      <c r="B820" s="658" t="s">
        <v>152</v>
      </c>
      <c r="C820" s="429"/>
      <c r="D820" s="430" t="s">
        <v>890</v>
      </c>
      <c r="E820" s="431"/>
      <c r="F820" s="690">
        <f t="shared" si="359"/>
        <v>5.2</v>
      </c>
      <c r="G820" s="690">
        <f t="shared" si="360"/>
        <v>2.3000000000000003</v>
      </c>
      <c r="H820" s="690"/>
      <c r="I820" s="692"/>
      <c r="J820" s="692"/>
      <c r="K820" s="692"/>
      <c r="L820" s="692"/>
      <c r="M820" s="692"/>
      <c r="N820" s="692"/>
      <c r="O820" s="692"/>
      <c r="P820" s="692">
        <f>0.2*$P$816</f>
        <v>15.4</v>
      </c>
      <c r="Q820" s="692"/>
      <c r="R820" s="692"/>
      <c r="S820" s="692"/>
      <c r="T820" s="692"/>
      <c r="U820" s="690"/>
    </row>
    <row r="821" spans="1:21" s="392" customFormat="1" ht="15.75">
      <c r="A821" s="769" t="s">
        <v>776</v>
      </c>
      <c r="B821" s="658" t="s">
        <v>105</v>
      </c>
      <c r="C821" s="429"/>
      <c r="D821" s="430" t="s">
        <v>890</v>
      </c>
      <c r="E821" s="431"/>
      <c r="F821" s="690">
        <f>0.2*$F$816</f>
        <v>10.4</v>
      </c>
      <c r="G821" s="690">
        <f>0.2*$G$816</f>
        <v>4.6000000000000005</v>
      </c>
      <c r="H821" s="690"/>
      <c r="I821" s="692"/>
      <c r="J821" s="692"/>
      <c r="K821" s="692">
        <f>0.5*$K$816</f>
        <v>5.5</v>
      </c>
      <c r="L821" s="692"/>
      <c r="M821" s="692"/>
      <c r="N821" s="692"/>
      <c r="O821" s="692"/>
      <c r="P821" s="692">
        <f>0.2*$P$816</f>
        <v>15.4</v>
      </c>
      <c r="Q821" s="692">
        <f>0.25*$Q$816</f>
        <v>17.25</v>
      </c>
      <c r="R821" s="692">
        <f>0.25*$R$816</f>
        <v>17.25</v>
      </c>
      <c r="S821" s="692"/>
      <c r="T821" s="692"/>
      <c r="U821" s="690"/>
    </row>
    <row r="822" spans="1:21" s="392" customFormat="1" ht="15.75">
      <c r="A822" s="769" t="s">
        <v>777</v>
      </c>
      <c r="B822" s="658" t="s">
        <v>595</v>
      </c>
      <c r="C822" s="429"/>
      <c r="D822" s="430" t="s">
        <v>890</v>
      </c>
      <c r="E822" s="431"/>
      <c r="F822" s="690">
        <f>0.2*$F$816</f>
        <v>10.4</v>
      </c>
      <c r="G822" s="690">
        <f>0.2*$G$816</f>
        <v>4.6000000000000005</v>
      </c>
      <c r="H822" s="690"/>
      <c r="I822" s="692"/>
      <c r="J822" s="692"/>
      <c r="K822" s="692">
        <f>0.5*$K$816</f>
        <v>5.5</v>
      </c>
      <c r="L822" s="692"/>
      <c r="M822" s="692"/>
      <c r="N822" s="692"/>
      <c r="O822" s="692"/>
      <c r="P822" s="692">
        <f>0.2*$P$816</f>
        <v>15.4</v>
      </c>
      <c r="Q822" s="692">
        <f>0.25*$Q$816</f>
        <v>17.25</v>
      </c>
      <c r="R822" s="692">
        <f>0.25*$R$816</f>
        <v>17.25</v>
      </c>
      <c r="S822" s="692"/>
      <c r="T822" s="692"/>
      <c r="U822" s="690"/>
    </row>
    <row r="823" spans="1:21" s="392" customFormat="1" ht="15.75">
      <c r="A823" s="769" t="s">
        <v>778</v>
      </c>
      <c r="B823" s="658" t="s">
        <v>597</v>
      </c>
      <c r="C823" s="434"/>
      <c r="D823" s="430" t="s">
        <v>890</v>
      </c>
      <c r="E823" s="435"/>
      <c r="F823" s="690"/>
      <c r="G823" s="690"/>
      <c r="H823" s="690"/>
      <c r="I823" s="692"/>
      <c r="J823" s="692"/>
      <c r="K823" s="692"/>
      <c r="L823" s="692"/>
      <c r="M823" s="692"/>
      <c r="N823" s="692"/>
      <c r="O823" s="692"/>
      <c r="P823" s="692"/>
      <c r="Q823" s="692">
        <f>0.25*$Q$816</f>
        <v>17.25</v>
      </c>
      <c r="R823" s="692">
        <f>0.25*$R$816</f>
        <v>17.25</v>
      </c>
      <c r="S823" s="692"/>
      <c r="T823" s="692"/>
      <c r="U823" s="690"/>
    </row>
    <row r="824" spans="1:21" s="59" customFormat="1" ht="15.75">
      <c r="A824" s="769" t="s">
        <v>779</v>
      </c>
      <c r="B824" s="656" t="s">
        <v>150</v>
      </c>
      <c r="C824" s="396"/>
      <c r="D824" s="641" t="s">
        <v>890</v>
      </c>
      <c r="E824" s="397"/>
      <c r="F824" s="690">
        <f t="shared" si="359"/>
        <v>5.2</v>
      </c>
      <c r="G824" s="690">
        <f t="shared" si="360"/>
        <v>2.3000000000000003</v>
      </c>
      <c r="H824" s="690"/>
      <c r="I824" s="692"/>
      <c r="J824" s="692"/>
      <c r="K824" s="692"/>
      <c r="L824" s="692"/>
      <c r="M824" s="692"/>
      <c r="N824" s="692"/>
      <c r="O824" s="692"/>
      <c r="P824" s="692"/>
      <c r="Q824" s="692">
        <f>0.25*$Q$816</f>
        <v>17.25</v>
      </c>
      <c r="R824" s="692">
        <f>0.25*$R$816</f>
        <v>17.25</v>
      </c>
      <c r="S824" s="692"/>
      <c r="T824" s="692"/>
      <c r="U824" s="690"/>
    </row>
    <row r="825" spans="1:21" s="284" customFormat="1" ht="15.75">
      <c r="A825" s="769"/>
      <c r="B825" s="656"/>
      <c r="C825" s="404"/>
      <c r="D825" s="641"/>
      <c r="E825" s="405"/>
      <c r="F825" s="664">
        <f t="shared" ref="F825:U825" si="361">F816-SUM(F817:F824)</f>
        <v>0</v>
      </c>
      <c r="G825" s="664">
        <f t="shared" si="361"/>
        <v>0</v>
      </c>
      <c r="H825" s="664">
        <f t="shared" si="361"/>
        <v>0</v>
      </c>
      <c r="I825" s="664">
        <f t="shared" si="361"/>
        <v>0</v>
      </c>
      <c r="J825" s="664">
        <f t="shared" si="361"/>
        <v>0</v>
      </c>
      <c r="K825" s="664">
        <f t="shared" si="361"/>
        <v>0</v>
      </c>
      <c r="L825" s="664">
        <f t="shared" si="361"/>
        <v>0</v>
      </c>
      <c r="M825" s="664">
        <f t="shared" si="361"/>
        <v>0</v>
      </c>
      <c r="N825" s="664">
        <f t="shared" si="361"/>
        <v>0</v>
      </c>
      <c r="O825" s="664">
        <f t="shared" si="361"/>
        <v>0</v>
      </c>
      <c r="P825" s="664">
        <f>P816-SUM(P817:P824)</f>
        <v>0</v>
      </c>
      <c r="Q825" s="664">
        <f t="shared" si="361"/>
        <v>0</v>
      </c>
      <c r="R825" s="664">
        <f t="shared" si="361"/>
        <v>0</v>
      </c>
      <c r="S825" s="664">
        <f t="shared" si="361"/>
        <v>0</v>
      </c>
      <c r="T825" s="664">
        <f t="shared" si="361"/>
        <v>0</v>
      </c>
      <c r="U825" s="664">
        <f t="shared" si="361"/>
        <v>0</v>
      </c>
    </row>
    <row r="826" spans="1:21" s="59" customFormat="1" ht="15.75">
      <c r="A826" s="769"/>
      <c r="B826" s="656"/>
      <c r="C826" s="404"/>
      <c r="D826" s="641"/>
      <c r="E826" s="405"/>
      <c r="F826" s="690"/>
      <c r="G826" s="679"/>
      <c r="H826" s="679"/>
      <c r="I826" s="679"/>
      <c r="J826" s="679"/>
      <c r="K826" s="679"/>
      <c r="L826" s="679"/>
      <c r="M826" s="679"/>
      <c r="N826" s="679"/>
      <c r="O826" s="679"/>
      <c r="P826" s="679"/>
      <c r="Q826" s="679"/>
      <c r="R826" s="679"/>
      <c r="S826" s="442"/>
      <c r="T826" s="442"/>
      <c r="U826" s="454"/>
    </row>
    <row r="827" spans="1:21" s="401" customFormat="1" ht="15.75">
      <c r="A827" s="391" t="s">
        <v>780</v>
      </c>
      <c r="B827" s="693" t="s">
        <v>248</v>
      </c>
      <c r="C827" s="290"/>
      <c r="D827" s="398"/>
      <c r="E827" s="291"/>
      <c r="F827" s="669">
        <f>TRUNC(0.04*F$583)</f>
        <v>104</v>
      </c>
      <c r="G827" s="669">
        <f>TRUNC(0.05*G$583)</f>
        <v>57</v>
      </c>
      <c r="H827" s="820">
        <f>TRUNC(0.06*H$583)</f>
        <v>69</v>
      </c>
      <c r="I827" s="820"/>
      <c r="J827" s="820"/>
      <c r="K827" s="820">
        <f>TRUNC(0.06*K$583)</f>
        <v>69</v>
      </c>
      <c r="L827" s="669"/>
      <c r="M827" s="669"/>
      <c r="N827" s="669"/>
      <c r="O827" s="669"/>
      <c r="P827" s="669">
        <f>TRUNC(0.2*P$583)</f>
        <v>61</v>
      </c>
      <c r="Q827" s="820">
        <f>TRUNC(0.02*Q$583)</f>
        <v>69</v>
      </c>
      <c r="R827" s="820">
        <f>TRUNC(0.02*R$583)</f>
        <v>69</v>
      </c>
      <c r="S827" s="400">
        <v>0</v>
      </c>
      <c r="T827" s="400">
        <v>0</v>
      </c>
      <c r="U827" s="400">
        <v>0</v>
      </c>
    </row>
    <row r="828" spans="1:21" s="59" customFormat="1" ht="15.75">
      <c r="A828" s="426" t="s">
        <v>781</v>
      </c>
      <c r="B828" s="658" t="s">
        <v>326</v>
      </c>
      <c r="C828" s="396"/>
      <c r="D828" s="641" t="s">
        <v>890</v>
      </c>
      <c r="E828" s="397"/>
      <c r="F828" s="690">
        <f>0.2*$F$827</f>
        <v>20.8</v>
      </c>
      <c r="G828" s="690">
        <f>0.2*$G$827</f>
        <v>11.4</v>
      </c>
      <c r="H828" s="690"/>
      <c r="I828" s="691"/>
      <c r="J828" s="691"/>
      <c r="K828" s="691">
        <f>0.2*$K$827</f>
        <v>13.8</v>
      </c>
      <c r="L828" s="691"/>
      <c r="M828" s="691"/>
      <c r="N828" s="691"/>
      <c r="O828" s="691"/>
      <c r="P828" s="691">
        <f>0.2*$P$827</f>
        <v>12.200000000000001</v>
      </c>
      <c r="Q828" s="691"/>
      <c r="R828" s="691"/>
      <c r="S828" s="691"/>
      <c r="T828" s="691"/>
      <c r="U828" s="691"/>
    </row>
    <row r="829" spans="1:21" s="59" customFormat="1" ht="15.75">
      <c r="A829" s="426" t="s">
        <v>782</v>
      </c>
      <c r="B829" s="658" t="s">
        <v>135</v>
      </c>
      <c r="C829" s="396"/>
      <c r="D829" s="641" t="s">
        <v>890</v>
      </c>
      <c r="E829" s="397"/>
      <c r="F829" s="690">
        <f t="shared" ref="F829:F835" si="362">0.1*$F$827</f>
        <v>10.4</v>
      </c>
      <c r="G829" s="690">
        <f>0.1*$G$827</f>
        <v>5.7</v>
      </c>
      <c r="H829" s="690">
        <f>0.5*$H$827</f>
        <v>34.5</v>
      </c>
      <c r="I829" s="691"/>
      <c r="J829" s="691"/>
      <c r="K829" s="691">
        <f t="shared" ref="K829:K833" si="363">0.2*$K$827</f>
        <v>13.8</v>
      </c>
      <c r="L829" s="691"/>
      <c r="M829" s="691"/>
      <c r="N829" s="691"/>
      <c r="O829" s="691"/>
      <c r="P829" s="691">
        <f>0.2*$P$827</f>
        <v>12.200000000000001</v>
      </c>
      <c r="Q829" s="691"/>
      <c r="R829" s="691"/>
      <c r="S829" s="691"/>
      <c r="T829" s="691"/>
      <c r="U829" s="691"/>
    </row>
    <row r="830" spans="1:21" s="392" customFormat="1" ht="15.75">
      <c r="A830" s="426" t="s">
        <v>783</v>
      </c>
      <c r="B830" s="658" t="s">
        <v>112</v>
      </c>
      <c r="C830" s="434"/>
      <c r="D830" s="430" t="s">
        <v>890</v>
      </c>
      <c r="E830" s="435"/>
      <c r="F830" s="690">
        <f t="shared" si="362"/>
        <v>10.4</v>
      </c>
      <c r="G830" s="690">
        <f>0.2*$G$827</f>
        <v>11.4</v>
      </c>
      <c r="H830" s="690">
        <f>0.5*$H$827</f>
        <v>34.5</v>
      </c>
      <c r="I830" s="691"/>
      <c r="J830" s="691"/>
      <c r="K830" s="691">
        <f t="shared" si="363"/>
        <v>13.8</v>
      </c>
      <c r="L830" s="691"/>
      <c r="M830" s="691"/>
      <c r="N830" s="691"/>
      <c r="O830" s="691"/>
      <c r="P830" s="691">
        <f>0.2*$P$827</f>
        <v>12.200000000000001</v>
      </c>
      <c r="Q830" s="691"/>
      <c r="R830" s="691"/>
      <c r="S830" s="691"/>
      <c r="T830" s="691"/>
      <c r="U830" s="691"/>
    </row>
    <row r="831" spans="1:21" s="392" customFormat="1" ht="15.75">
      <c r="A831" s="426" t="s">
        <v>784</v>
      </c>
      <c r="B831" s="658" t="s">
        <v>152</v>
      </c>
      <c r="C831" s="434"/>
      <c r="D831" s="430" t="s">
        <v>890</v>
      </c>
      <c r="E831" s="435"/>
      <c r="F831" s="690">
        <f t="shared" si="362"/>
        <v>10.4</v>
      </c>
      <c r="G831" s="690"/>
      <c r="H831" s="690"/>
      <c r="I831" s="691"/>
      <c r="J831" s="691"/>
      <c r="K831" s="691"/>
      <c r="L831" s="691"/>
      <c r="M831" s="691"/>
      <c r="N831" s="691"/>
      <c r="O831" s="691"/>
      <c r="P831" s="691"/>
      <c r="Q831" s="691"/>
      <c r="R831" s="691"/>
      <c r="S831" s="691"/>
      <c r="T831" s="691"/>
      <c r="U831" s="691"/>
    </row>
    <row r="832" spans="1:21" s="392" customFormat="1" ht="15.75">
      <c r="A832" s="426" t="s">
        <v>785</v>
      </c>
      <c r="B832" s="658" t="s">
        <v>105</v>
      </c>
      <c r="C832" s="434"/>
      <c r="D832" s="430" t="s">
        <v>890</v>
      </c>
      <c r="E832" s="435"/>
      <c r="F832" s="690">
        <f>0.2*$F$827</f>
        <v>20.8</v>
      </c>
      <c r="G832" s="690">
        <f>0.2*$G$827</f>
        <v>11.4</v>
      </c>
      <c r="H832" s="690"/>
      <c r="I832" s="691"/>
      <c r="J832" s="691"/>
      <c r="K832" s="691">
        <f t="shared" si="363"/>
        <v>13.8</v>
      </c>
      <c r="L832" s="691"/>
      <c r="M832" s="691"/>
      <c r="N832" s="691"/>
      <c r="O832" s="691"/>
      <c r="P832" s="691">
        <f>0.2*$P$827</f>
        <v>12.200000000000001</v>
      </c>
      <c r="Q832" s="691">
        <f>0.25*$Q$827</f>
        <v>17.25</v>
      </c>
      <c r="R832" s="691">
        <f>0.25*$R$827</f>
        <v>17.25</v>
      </c>
      <c r="S832" s="691"/>
      <c r="T832" s="691"/>
      <c r="U832" s="691"/>
    </row>
    <row r="833" spans="1:21" s="392" customFormat="1" ht="15.75">
      <c r="A833" s="426" t="s">
        <v>786</v>
      </c>
      <c r="B833" s="658" t="s">
        <v>595</v>
      </c>
      <c r="C833" s="434"/>
      <c r="D833" s="430" t="s">
        <v>890</v>
      </c>
      <c r="E833" s="435"/>
      <c r="F833" s="690">
        <f>0.2*$F$827</f>
        <v>20.8</v>
      </c>
      <c r="G833" s="690">
        <f>0.2*$G$827</f>
        <v>11.4</v>
      </c>
      <c r="H833" s="690"/>
      <c r="I833" s="691"/>
      <c r="J833" s="691"/>
      <c r="K833" s="691">
        <f t="shared" si="363"/>
        <v>13.8</v>
      </c>
      <c r="L833" s="691"/>
      <c r="M833" s="691"/>
      <c r="N833" s="691"/>
      <c r="O833" s="691"/>
      <c r="P833" s="691">
        <f>0.2*$P$827</f>
        <v>12.200000000000001</v>
      </c>
      <c r="Q833" s="691">
        <f>0.25*$Q$827</f>
        <v>17.25</v>
      </c>
      <c r="R833" s="691">
        <f>0.25*$R$827</f>
        <v>17.25</v>
      </c>
      <c r="S833" s="691"/>
      <c r="T833" s="691"/>
      <c r="U833" s="691"/>
    </row>
    <row r="834" spans="1:21" s="59" customFormat="1" ht="15.75">
      <c r="A834" s="426" t="s">
        <v>787</v>
      </c>
      <c r="B834" s="658" t="s">
        <v>597</v>
      </c>
      <c r="C834" s="396"/>
      <c r="D834" s="641" t="s">
        <v>890</v>
      </c>
      <c r="E834" s="397"/>
      <c r="F834" s="690"/>
      <c r="G834" s="690"/>
      <c r="H834" s="690"/>
      <c r="I834" s="691"/>
      <c r="J834" s="691"/>
      <c r="K834" s="691"/>
      <c r="L834" s="691"/>
      <c r="M834" s="691"/>
      <c r="N834" s="691"/>
      <c r="O834" s="691"/>
      <c r="P834" s="691"/>
      <c r="Q834" s="691">
        <f>0.25*$Q$827</f>
        <v>17.25</v>
      </c>
      <c r="R834" s="691">
        <f>0.25*$R$827</f>
        <v>17.25</v>
      </c>
      <c r="S834" s="691"/>
      <c r="T834" s="691"/>
      <c r="U834" s="691"/>
    </row>
    <row r="835" spans="1:21" s="59" customFormat="1" ht="15.75">
      <c r="A835" s="426" t="s">
        <v>906</v>
      </c>
      <c r="B835" s="656" t="s">
        <v>150</v>
      </c>
      <c r="C835" s="396"/>
      <c r="D835" s="641" t="s">
        <v>890</v>
      </c>
      <c r="E835" s="397"/>
      <c r="F835" s="690">
        <f t="shared" si="362"/>
        <v>10.4</v>
      </c>
      <c r="G835" s="690">
        <f t="shared" ref="G835" si="364">0.1*$G$827</f>
        <v>5.7</v>
      </c>
      <c r="H835" s="690"/>
      <c r="I835" s="691"/>
      <c r="J835" s="691"/>
      <c r="K835" s="691"/>
      <c r="L835" s="691"/>
      <c r="M835" s="691"/>
      <c r="N835" s="691"/>
      <c r="O835" s="691"/>
      <c r="P835" s="691"/>
      <c r="Q835" s="691">
        <f>0.25*$Q$827</f>
        <v>17.25</v>
      </c>
      <c r="R835" s="691">
        <f>0.25*$R$827</f>
        <v>17.25</v>
      </c>
      <c r="S835" s="691"/>
      <c r="T835" s="691"/>
      <c r="U835" s="691"/>
    </row>
    <row r="836" spans="1:21" s="284" customFormat="1" ht="15.75">
      <c r="A836" s="426"/>
      <c r="B836" s="656"/>
      <c r="C836" s="396"/>
      <c r="D836" s="641"/>
      <c r="E836" s="397"/>
      <c r="F836" s="664">
        <f t="shared" ref="F836:U836" si="365">F827-SUM(F828:F835)</f>
        <v>0</v>
      </c>
      <c r="G836" s="664">
        <f t="shared" si="365"/>
        <v>0</v>
      </c>
      <c r="H836" s="664">
        <f t="shared" si="365"/>
        <v>0</v>
      </c>
      <c r="I836" s="664">
        <f t="shared" si="365"/>
        <v>0</v>
      </c>
      <c r="J836" s="664">
        <f t="shared" si="365"/>
        <v>0</v>
      </c>
      <c r="K836" s="664">
        <f t="shared" si="365"/>
        <v>0</v>
      </c>
      <c r="L836" s="664">
        <f t="shared" si="365"/>
        <v>0</v>
      </c>
      <c r="M836" s="664">
        <f t="shared" si="365"/>
        <v>0</v>
      </c>
      <c r="N836" s="664">
        <f t="shared" si="365"/>
        <v>0</v>
      </c>
      <c r="O836" s="664">
        <f t="shared" si="365"/>
        <v>0</v>
      </c>
      <c r="P836" s="664">
        <f t="shared" si="365"/>
        <v>0</v>
      </c>
      <c r="Q836" s="664">
        <f t="shared" si="365"/>
        <v>0</v>
      </c>
      <c r="R836" s="664">
        <f t="shared" si="365"/>
        <v>0</v>
      </c>
      <c r="S836" s="664">
        <f t="shared" si="365"/>
        <v>0</v>
      </c>
      <c r="T836" s="664">
        <f t="shared" si="365"/>
        <v>0</v>
      </c>
      <c r="U836" s="664">
        <f t="shared" si="365"/>
        <v>0</v>
      </c>
    </row>
    <row r="837" spans="1:21" s="59" customFormat="1" ht="15.75">
      <c r="A837" s="769"/>
      <c r="B837" s="656"/>
      <c r="C837" s="404"/>
      <c r="D837" s="641"/>
      <c r="E837" s="405"/>
      <c r="F837" s="690"/>
      <c r="G837" s="679"/>
      <c r="H837" s="679"/>
      <c r="I837" s="679"/>
      <c r="J837" s="679"/>
      <c r="K837" s="679"/>
      <c r="L837" s="679"/>
      <c r="M837" s="679"/>
      <c r="N837" s="679"/>
      <c r="O837" s="679"/>
      <c r="P837" s="679"/>
      <c r="Q837" s="679"/>
      <c r="R837" s="679"/>
      <c r="S837" s="442"/>
      <c r="T837" s="442"/>
      <c r="U837" s="454"/>
    </row>
    <row r="838" spans="1:21" s="288" customFormat="1" ht="15.75">
      <c r="A838" s="417" t="s">
        <v>789</v>
      </c>
      <c r="B838" s="693" t="s">
        <v>253</v>
      </c>
      <c r="C838" s="427"/>
      <c r="D838" s="398"/>
      <c r="E838" s="399"/>
      <c r="F838" s="666"/>
      <c r="G838" s="666"/>
      <c r="H838" s="668">
        <f>TRUNC(0.01*H$583)</f>
        <v>11</v>
      </c>
      <c r="I838" s="668"/>
      <c r="J838" s="668"/>
      <c r="K838" s="668">
        <f>TRUNC(0.01*K$583)</f>
        <v>11</v>
      </c>
      <c r="L838" s="668">
        <f>TRUNC(0.01*L$583)</f>
        <v>23</v>
      </c>
      <c r="M838" s="668">
        <f>TRUNC(0.01*M$583)</f>
        <v>11</v>
      </c>
      <c r="N838" s="668">
        <f>TRUNC(0.05*N$583)</f>
        <v>57</v>
      </c>
      <c r="O838" s="668">
        <f>TRUNC(0.1*O$583)</f>
        <v>115</v>
      </c>
      <c r="P838" s="668"/>
      <c r="Q838" s="668">
        <f>TRUNC(0.015*Q$583)</f>
        <v>51</v>
      </c>
      <c r="R838" s="668">
        <f>TRUNC(0.015*R$583)</f>
        <v>51</v>
      </c>
      <c r="S838" s="400">
        <v>0</v>
      </c>
      <c r="T838" s="400">
        <v>0</v>
      </c>
      <c r="U838" s="400">
        <v>0</v>
      </c>
    </row>
    <row r="839" spans="1:21" s="59" customFormat="1" ht="15.75">
      <c r="A839" s="769" t="s">
        <v>790</v>
      </c>
      <c r="B839" s="658" t="s">
        <v>326</v>
      </c>
      <c r="C839" s="404"/>
      <c r="D839" s="641" t="s">
        <v>890</v>
      </c>
      <c r="E839" s="405"/>
      <c r="F839" s="692"/>
      <c r="G839" s="692"/>
      <c r="H839" s="692">
        <f>0.5*$H$838</f>
        <v>5.5</v>
      </c>
      <c r="I839" s="692"/>
      <c r="J839" s="692"/>
      <c r="K839" s="692"/>
      <c r="L839" s="692">
        <f>0.2*$L$838</f>
        <v>4.6000000000000005</v>
      </c>
      <c r="M839" s="692">
        <f>0.2*$M$838</f>
        <v>2.2000000000000002</v>
      </c>
      <c r="N839" s="692">
        <f>0.1*$N$838</f>
        <v>5.7</v>
      </c>
      <c r="O839" s="692">
        <f>0.1*$O$838</f>
        <v>11.5</v>
      </c>
      <c r="P839" s="692"/>
      <c r="Q839" s="692"/>
      <c r="R839" s="692"/>
      <c r="S839" s="692"/>
      <c r="T839" s="692"/>
      <c r="U839" s="692"/>
    </row>
    <row r="840" spans="1:21" s="59" customFormat="1" ht="15.75">
      <c r="A840" s="769" t="s">
        <v>791</v>
      </c>
      <c r="B840" s="658" t="s">
        <v>135</v>
      </c>
      <c r="C840" s="404"/>
      <c r="D840" s="641" t="s">
        <v>890</v>
      </c>
      <c r="E840" s="405"/>
      <c r="F840" s="692"/>
      <c r="G840" s="692"/>
      <c r="H840" s="692">
        <f>0.5*$H$838</f>
        <v>5.5</v>
      </c>
      <c r="I840" s="692"/>
      <c r="J840" s="692"/>
      <c r="K840" s="692"/>
      <c r="L840" s="692">
        <f>0.1*$L$838</f>
        <v>2.3000000000000003</v>
      </c>
      <c r="M840" s="692">
        <f>0.2*$M$838</f>
        <v>2.2000000000000002</v>
      </c>
      <c r="N840" s="692">
        <f>0.1*$N$838</f>
        <v>5.7</v>
      </c>
      <c r="O840" s="692">
        <f>0.1*$O$838</f>
        <v>11.5</v>
      </c>
      <c r="P840" s="692"/>
      <c r="Q840" s="692"/>
      <c r="R840" s="692"/>
      <c r="S840" s="692"/>
      <c r="T840" s="692"/>
      <c r="U840" s="692"/>
    </row>
    <row r="841" spans="1:21" s="392" customFormat="1" ht="15.75">
      <c r="A841" s="769" t="s">
        <v>792</v>
      </c>
      <c r="B841" s="658" t="s">
        <v>112</v>
      </c>
      <c r="C841" s="429"/>
      <c r="D841" s="430" t="s">
        <v>890</v>
      </c>
      <c r="E841" s="431"/>
      <c r="F841" s="692"/>
      <c r="G841" s="692"/>
      <c r="H841" s="692"/>
      <c r="I841" s="692"/>
      <c r="J841" s="692"/>
      <c r="K841" s="692"/>
      <c r="L841" s="692">
        <f>0.2*$L$838</f>
        <v>4.6000000000000005</v>
      </c>
      <c r="M841" s="692"/>
      <c r="N841" s="692">
        <f>0.2*$N$838</f>
        <v>11.4</v>
      </c>
      <c r="O841" s="692">
        <f>0.2*$O$838</f>
        <v>23</v>
      </c>
      <c r="P841" s="692"/>
      <c r="Q841" s="692"/>
      <c r="R841" s="692"/>
      <c r="S841" s="692"/>
      <c r="T841" s="692"/>
      <c r="U841" s="692"/>
    </row>
    <row r="842" spans="1:21" s="392" customFormat="1" ht="15.75">
      <c r="A842" s="769" t="s">
        <v>793</v>
      </c>
      <c r="B842" s="658" t="s">
        <v>152</v>
      </c>
      <c r="C842" s="429"/>
      <c r="D842" s="430" t="s">
        <v>890</v>
      </c>
      <c r="E842" s="431"/>
      <c r="F842" s="692"/>
      <c r="G842" s="692"/>
      <c r="H842" s="692"/>
      <c r="I842" s="692"/>
      <c r="J842" s="692"/>
      <c r="K842" s="692"/>
      <c r="L842" s="692"/>
      <c r="M842" s="692">
        <f>0.2*$M$838</f>
        <v>2.2000000000000002</v>
      </c>
      <c r="N842" s="692">
        <f>0.1*$N$838</f>
        <v>5.7</v>
      </c>
      <c r="O842" s="692">
        <f>0.2*$O$838</f>
        <v>23</v>
      </c>
      <c r="P842" s="692"/>
      <c r="Q842" s="692"/>
      <c r="R842" s="692"/>
      <c r="S842" s="692"/>
      <c r="T842" s="692"/>
      <c r="U842" s="692"/>
    </row>
    <row r="843" spans="1:21" s="392" customFormat="1" ht="15.75">
      <c r="A843" s="769" t="s">
        <v>794</v>
      </c>
      <c r="B843" s="658" t="s">
        <v>105</v>
      </c>
      <c r="C843" s="429"/>
      <c r="D843" s="430" t="s">
        <v>890</v>
      </c>
      <c r="E843" s="431"/>
      <c r="F843" s="692"/>
      <c r="G843" s="692"/>
      <c r="H843" s="692"/>
      <c r="I843" s="692"/>
      <c r="J843" s="692"/>
      <c r="K843" s="692">
        <f>0.5*$K$838</f>
        <v>5.5</v>
      </c>
      <c r="L843" s="692">
        <f>0.2*$L$838</f>
        <v>4.6000000000000005</v>
      </c>
      <c r="M843" s="692">
        <f>0.2*$M$838</f>
        <v>2.2000000000000002</v>
      </c>
      <c r="N843" s="692">
        <f>0.2*$N$838</f>
        <v>11.4</v>
      </c>
      <c r="O843" s="692">
        <f>0.2*$O$838</f>
        <v>23</v>
      </c>
      <c r="P843" s="692"/>
      <c r="Q843" s="692">
        <f>0.25*$Q$838</f>
        <v>12.75</v>
      </c>
      <c r="R843" s="692">
        <f>0.25*$R$838</f>
        <v>12.75</v>
      </c>
      <c r="S843" s="692"/>
      <c r="T843" s="692"/>
      <c r="U843" s="692"/>
    </row>
    <row r="844" spans="1:21" s="392" customFormat="1" ht="15.75">
      <c r="A844" s="769" t="s">
        <v>795</v>
      </c>
      <c r="B844" s="658" t="s">
        <v>595</v>
      </c>
      <c r="C844" s="429"/>
      <c r="D844" s="430" t="s">
        <v>890</v>
      </c>
      <c r="E844" s="431"/>
      <c r="F844" s="692"/>
      <c r="G844" s="692"/>
      <c r="H844" s="692"/>
      <c r="I844" s="692"/>
      <c r="J844" s="692"/>
      <c r="K844" s="692">
        <f>0.5*$K$838</f>
        <v>5.5</v>
      </c>
      <c r="L844" s="692">
        <f>0.2*$L$838</f>
        <v>4.6000000000000005</v>
      </c>
      <c r="M844" s="692">
        <f>0.2*$M$838</f>
        <v>2.2000000000000002</v>
      </c>
      <c r="N844" s="692">
        <f>0.2*$N$838</f>
        <v>11.4</v>
      </c>
      <c r="O844" s="692">
        <f>0.1*$O$838</f>
        <v>11.5</v>
      </c>
      <c r="P844" s="692"/>
      <c r="Q844" s="692">
        <f>0.25*$Q$838</f>
        <v>12.75</v>
      </c>
      <c r="R844" s="692">
        <f>0.25*$R$838</f>
        <v>12.75</v>
      </c>
      <c r="S844" s="692"/>
      <c r="T844" s="692"/>
      <c r="U844" s="692"/>
    </row>
    <row r="845" spans="1:21" s="59" customFormat="1" ht="15.75">
      <c r="A845" s="769" t="s">
        <v>796</v>
      </c>
      <c r="B845" s="658" t="s">
        <v>597</v>
      </c>
      <c r="C845" s="396"/>
      <c r="D845" s="641" t="s">
        <v>890</v>
      </c>
      <c r="E845" s="397"/>
      <c r="F845" s="692"/>
      <c r="G845" s="692"/>
      <c r="H845" s="692"/>
      <c r="I845" s="692"/>
      <c r="J845" s="692"/>
      <c r="K845" s="692"/>
      <c r="L845" s="692"/>
      <c r="M845" s="692"/>
      <c r="N845" s="692"/>
      <c r="O845" s="692"/>
      <c r="P845" s="692"/>
      <c r="Q845" s="692">
        <f>0.25*$Q$838</f>
        <v>12.75</v>
      </c>
      <c r="R845" s="692">
        <f>0.25*$R$838</f>
        <v>12.75</v>
      </c>
      <c r="S845" s="692"/>
      <c r="T845" s="692"/>
      <c r="U845" s="692"/>
    </row>
    <row r="846" spans="1:21" s="59" customFormat="1" ht="15.75">
      <c r="A846" s="769" t="s">
        <v>797</v>
      </c>
      <c r="B846" s="656" t="s">
        <v>150</v>
      </c>
      <c r="C846" s="396"/>
      <c r="D846" s="641" t="s">
        <v>890</v>
      </c>
      <c r="E846" s="397"/>
      <c r="F846" s="692"/>
      <c r="G846" s="692"/>
      <c r="H846" s="692"/>
      <c r="I846" s="692"/>
      <c r="J846" s="692"/>
      <c r="K846" s="692"/>
      <c r="L846" s="692">
        <f>0.1*$L$838</f>
        <v>2.3000000000000003</v>
      </c>
      <c r="M846" s="692"/>
      <c r="N846" s="692">
        <f>0.1*$N$838</f>
        <v>5.7</v>
      </c>
      <c r="O846" s="692">
        <f>0.1*$O$838</f>
        <v>11.5</v>
      </c>
      <c r="P846" s="692"/>
      <c r="Q846" s="692">
        <f>0.25*$Q$838</f>
        <v>12.75</v>
      </c>
      <c r="R846" s="692">
        <f>0.25*$R$838</f>
        <v>12.75</v>
      </c>
      <c r="S846" s="692"/>
      <c r="T846" s="692"/>
      <c r="U846" s="692"/>
    </row>
    <row r="847" spans="1:21" s="284" customFormat="1" ht="15.75">
      <c r="A847" s="769"/>
      <c r="B847" s="656"/>
      <c r="C847" s="404"/>
      <c r="D847" s="641"/>
      <c r="E847" s="405"/>
      <c r="F847" s="664">
        <f t="shared" ref="F847:U847" si="366">F838-SUM(F839:F846)</f>
        <v>0</v>
      </c>
      <c r="G847" s="664">
        <f t="shared" si="366"/>
        <v>0</v>
      </c>
      <c r="H847" s="664">
        <f t="shared" si="366"/>
        <v>0</v>
      </c>
      <c r="I847" s="664">
        <f t="shared" si="366"/>
        <v>0</v>
      </c>
      <c r="J847" s="664">
        <f t="shared" si="366"/>
        <v>0</v>
      </c>
      <c r="K847" s="664">
        <f t="shared" si="366"/>
        <v>0</v>
      </c>
      <c r="L847" s="664">
        <f t="shared" si="366"/>
        <v>0</v>
      </c>
      <c r="M847" s="664">
        <f t="shared" si="366"/>
        <v>0</v>
      </c>
      <c r="N847" s="664">
        <f t="shared" si="366"/>
        <v>0</v>
      </c>
      <c r="O847" s="664">
        <f t="shared" si="366"/>
        <v>0</v>
      </c>
      <c r="P847" s="664"/>
      <c r="Q847" s="664">
        <f t="shared" si="366"/>
        <v>0</v>
      </c>
      <c r="R847" s="664">
        <f t="shared" si="366"/>
        <v>0</v>
      </c>
      <c r="S847" s="664">
        <f t="shared" si="366"/>
        <v>0</v>
      </c>
      <c r="T847" s="664">
        <f t="shared" si="366"/>
        <v>0</v>
      </c>
      <c r="U847" s="664">
        <f t="shared" si="366"/>
        <v>0</v>
      </c>
    </row>
    <row r="848" spans="1:21" s="59" customFormat="1" ht="15.75">
      <c r="A848" s="769"/>
      <c r="B848" s="656"/>
      <c r="C848" s="404"/>
      <c r="D848" s="641"/>
      <c r="E848" s="405"/>
      <c r="F848" s="690"/>
      <c r="G848" s="679"/>
      <c r="H848" s="679"/>
      <c r="I848" s="679"/>
      <c r="J848" s="679"/>
      <c r="K848" s="679"/>
      <c r="L848" s="679"/>
      <c r="M848" s="679"/>
      <c r="N848" s="679"/>
      <c r="O848" s="679"/>
      <c r="P848" s="679"/>
      <c r="Q848" s="679"/>
      <c r="R848" s="679"/>
      <c r="S848" s="442"/>
      <c r="T848" s="442"/>
      <c r="U848" s="454"/>
    </row>
    <row r="849" spans="1:21" s="288" customFormat="1" ht="15.75">
      <c r="A849" s="417" t="s">
        <v>798</v>
      </c>
      <c r="B849" s="693" t="s">
        <v>259</v>
      </c>
      <c r="C849" s="290"/>
      <c r="D849" s="398"/>
      <c r="E849" s="399"/>
      <c r="F849" s="666">
        <f>TRUNC(0.03*F$583)</f>
        <v>78</v>
      </c>
      <c r="G849" s="666">
        <f>TRUNC(0.01*G$583)</f>
        <v>11</v>
      </c>
      <c r="H849" s="668">
        <f>TRUNC(0.01*H$258)</f>
        <v>13</v>
      </c>
      <c r="I849" s="668"/>
      <c r="J849" s="668"/>
      <c r="K849" s="668">
        <f>TRUNC(0.01*K$258)</f>
        <v>13</v>
      </c>
      <c r="L849" s="668">
        <f>TRUNC(0.0105*L$583)</f>
        <v>24</v>
      </c>
      <c r="M849" s="668">
        <f>TRUNC(0.01*M$583)</f>
        <v>11</v>
      </c>
      <c r="N849" s="668">
        <f>TRUNC(0.59*N$583)</f>
        <v>681</v>
      </c>
      <c r="O849" s="668">
        <f>TRUNC(0.55*O$583)</f>
        <v>635</v>
      </c>
      <c r="P849" s="668"/>
      <c r="Q849" s="668">
        <f>TRUNC(0.0208*Q$583)</f>
        <v>72</v>
      </c>
      <c r="R849" s="668">
        <f>TRUNC(0.0219*R$583)</f>
        <v>75</v>
      </c>
      <c r="S849" s="292">
        <v>0</v>
      </c>
      <c r="T849" s="292">
        <v>0</v>
      </c>
      <c r="U849" s="400">
        <v>0</v>
      </c>
    </row>
    <row r="850" spans="1:21" s="59" customFormat="1" ht="15.75">
      <c r="A850" s="426" t="s">
        <v>799</v>
      </c>
      <c r="B850" s="658" t="s">
        <v>326</v>
      </c>
      <c r="C850" s="396"/>
      <c r="D850" s="641" t="s">
        <v>890</v>
      </c>
      <c r="E850" s="397"/>
      <c r="F850" s="692">
        <f>0.2*$F$849</f>
        <v>15.600000000000001</v>
      </c>
      <c r="G850" s="692">
        <f>0.2*$G$849</f>
        <v>2.2000000000000002</v>
      </c>
      <c r="H850" s="692">
        <f>0.5*H849</f>
        <v>6.5</v>
      </c>
      <c r="I850" s="691"/>
      <c r="J850" s="691"/>
      <c r="K850" s="691"/>
      <c r="L850" s="692">
        <f>0.2*$L$849</f>
        <v>4.8000000000000007</v>
      </c>
      <c r="M850" s="692">
        <f>TRUNC(0.2*M$849)</f>
        <v>2</v>
      </c>
      <c r="N850" s="692">
        <f>0.1*$N$849</f>
        <v>68.100000000000009</v>
      </c>
      <c r="O850" s="692">
        <f>0.1*$O$849</f>
        <v>63.5</v>
      </c>
      <c r="P850" s="692"/>
      <c r="Q850" s="691"/>
      <c r="R850" s="691"/>
      <c r="S850" s="691"/>
      <c r="T850" s="691"/>
      <c r="U850" s="691"/>
    </row>
    <row r="851" spans="1:21" s="59" customFormat="1" ht="15.75">
      <c r="A851" s="426" t="s">
        <v>800</v>
      </c>
      <c r="B851" s="658" t="s">
        <v>135</v>
      </c>
      <c r="C851" s="396"/>
      <c r="D851" s="641" t="s">
        <v>890</v>
      </c>
      <c r="E851" s="397"/>
      <c r="F851" s="692">
        <f>0.1*$F$849</f>
        <v>7.8000000000000007</v>
      </c>
      <c r="G851" s="692">
        <f>0.2*$G$849</f>
        <v>2.2000000000000002</v>
      </c>
      <c r="H851" s="692"/>
      <c r="I851" s="691"/>
      <c r="J851" s="691"/>
      <c r="K851" s="691"/>
      <c r="L851" s="692">
        <f>0.2*$L$849</f>
        <v>4.8000000000000007</v>
      </c>
      <c r="M851" s="692">
        <f>TRUNC(0.2*M$849)</f>
        <v>2</v>
      </c>
      <c r="N851" s="692">
        <f>0.1*$N$849</f>
        <v>68.100000000000009</v>
      </c>
      <c r="O851" s="692">
        <f>0.1*$O$849</f>
        <v>63.5</v>
      </c>
      <c r="P851" s="692"/>
      <c r="Q851" s="691"/>
      <c r="R851" s="691"/>
      <c r="S851" s="691"/>
      <c r="T851" s="691"/>
      <c r="U851" s="691"/>
    </row>
    <row r="852" spans="1:21" s="392" customFormat="1" ht="15.75">
      <c r="A852" s="426" t="s">
        <v>801</v>
      </c>
      <c r="B852" s="658" t="s">
        <v>112</v>
      </c>
      <c r="C852" s="434"/>
      <c r="D852" s="430" t="s">
        <v>890</v>
      </c>
      <c r="E852" s="435"/>
      <c r="F852" s="692">
        <f>0.2*$F$849</f>
        <v>15.600000000000001</v>
      </c>
      <c r="G852" s="692">
        <f>0.2*$G$849</f>
        <v>2.2000000000000002</v>
      </c>
      <c r="H852" s="692">
        <f>0.5*H849</f>
        <v>6.5</v>
      </c>
      <c r="I852" s="691"/>
      <c r="J852" s="691"/>
      <c r="K852" s="691"/>
      <c r="L852" s="692">
        <f>0.2*$L$849</f>
        <v>4.8000000000000007</v>
      </c>
      <c r="M852" s="692">
        <f>TRUNC(0.15*M$849)</f>
        <v>1</v>
      </c>
      <c r="N852" s="692">
        <f>0.2*$N$849</f>
        <v>136.20000000000002</v>
      </c>
      <c r="O852" s="692">
        <f>0.2*$O$849</f>
        <v>127</v>
      </c>
      <c r="P852" s="692"/>
      <c r="Q852" s="691"/>
      <c r="R852" s="691"/>
      <c r="S852" s="691"/>
      <c r="T852" s="691"/>
      <c r="U852" s="691"/>
    </row>
    <row r="853" spans="1:21" s="392" customFormat="1" ht="15.75">
      <c r="A853" s="426" t="s">
        <v>802</v>
      </c>
      <c r="B853" s="658" t="s">
        <v>152</v>
      </c>
      <c r="C853" s="434"/>
      <c r="D853" s="430" t="s">
        <v>890</v>
      </c>
      <c r="E853" s="435"/>
      <c r="F853" s="692">
        <f>0.1*$F$849</f>
        <v>7.8000000000000007</v>
      </c>
      <c r="G853" s="692">
        <f>0.2*$G$849</f>
        <v>2.2000000000000002</v>
      </c>
      <c r="H853" s="691"/>
      <c r="I853" s="691"/>
      <c r="J853" s="691"/>
      <c r="K853" s="691"/>
      <c r="L853" s="692">
        <f>0.2*$L$849</f>
        <v>4.8000000000000007</v>
      </c>
      <c r="M853" s="692">
        <f>TRUNC(0.15*M$849)</f>
        <v>1</v>
      </c>
      <c r="N853" s="692">
        <f>0.1*$N$849</f>
        <v>68.100000000000009</v>
      </c>
      <c r="O853" s="692">
        <f>0.2*$O$849</f>
        <v>127</v>
      </c>
      <c r="P853" s="692"/>
      <c r="Q853" s="691"/>
      <c r="R853" s="691"/>
      <c r="S853" s="691"/>
      <c r="T853" s="691"/>
      <c r="U853" s="691"/>
    </row>
    <row r="854" spans="1:21" s="392" customFormat="1" ht="15.75">
      <c r="A854" s="426" t="s">
        <v>803</v>
      </c>
      <c r="B854" s="658" t="s">
        <v>105</v>
      </c>
      <c r="C854" s="434"/>
      <c r="D854" s="430" t="s">
        <v>890</v>
      </c>
      <c r="E854" s="435"/>
      <c r="F854" s="692">
        <f>0.2*$F$849</f>
        <v>15.600000000000001</v>
      </c>
      <c r="G854" s="692">
        <f>0.2*$G$849</f>
        <v>2.2000000000000002</v>
      </c>
      <c r="H854" s="691"/>
      <c r="I854" s="691"/>
      <c r="J854" s="691"/>
      <c r="K854" s="691">
        <f>0.5*$K$849</f>
        <v>6.5</v>
      </c>
      <c r="L854" s="692">
        <f>0.2*$L$849</f>
        <v>4.8000000000000007</v>
      </c>
      <c r="M854" s="692">
        <f>TRUNC(0.3*M$849)</f>
        <v>3</v>
      </c>
      <c r="N854" s="692">
        <f>0.2*$N$849</f>
        <v>136.20000000000002</v>
      </c>
      <c r="O854" s="692">
        <f>0.2*$O$849</f>
        <v>127</v>
      </c>
      <c r="P854" s="692"/>
      <c r="Q854" s="692">
        <f>0.25*$Q$849</f>
        <v>18</v>
      </c>
      <c r="R854" s="692">
        <f>0.25*$R$849</f>
        <v>18.75</v>
      </c>
      <c r="S854" s="691"/>
      <c r="T854" s="691"/>
      <c r="U854" s="691"/>
    </row>
    <row r="855" spans="1:21" s="392" customFormat="1" ht="15.75">
      <c r="A855" s="426" t="s">
        <v>804</v>
      </c>
      <c r="B855" s="658" t="s">
        <v>595</v>
      </c>
      <c r="C855" s="434"/>
      <c r="D855" s="430" t="s">
        <v>890</v>
      </c>
      <c r="E855" s="435"/>
      <c r="F855" s="692">
        <f>0.1*$F$849</f>
        <v>7.8000000000000007</v>
      </c>
      <c r="G855" s="692"/>
      <c r="H855" s="691"/>
      <c r="I855" s="691"/>
      <c r="J855" s="691"/>
      <c r="K855" s="691">
        <f>0.5*$K$849</f>
        <v>6.5</v>
      </c>
      <c r="L855" s="692"/>
      <c r="M855" s="692">
        <f>TRUNC(0.2*M$849)</f>
        <v>2</v>
      </c>
      <c r="N855" s="692">
        <f>0.2*$N$849</f>
        <v>136.20000000000002</v>
      </c>
      <c r="O855" s="692">
        <f>0.1*$O$849</f>
        <v>63.5</v>
      </c>
      <c r="P855" s="692"/>
      <c r="Q855" s="692">
        <f>0.25*$Q$849</f>
        <v>18</v>
      </c>
      <c r="R855" s="692">
        <f>0.25*$R$849</f>
        <v>18.75</v>
      </c>
      <c r="S855" s="691"/>
      <c r="T855" s="691"/>
      <c r="U855" s="691"/>
    </row>
    <row r="856" spans="1:21" s="59" customFormat="1" ht="15.75">
      <c r="A856" s="426" t="s">
        <v>805</v>
      </c>
      <c r="B856" s="658" t="s">
        <v>597</v>
      </c>
      <c r="C856" s="396"/>
      <c r="D856" s="641" t="s">
        <v>890</v>
      </c>
      <c r="E856" s="397"/>
      <c r="F856" s="692"/>
      <c r="G856" s="692"/>
      <c r="H856" s="691"/>
      <c r="I856" s="691"/>
      <c r="J856" s="691"/>
      <c r="K856" s="691"/>
      <c r="L856" s="692"/>
      <c r="M856" s="692"/>
      <c r="N856" s="692"/>
      <c r="O856" s="692"/>
      <c r="P856" s="692"/>
      <c r="Q856" s="692">
        <f>0.25*$Q$849</f>
        <v>18</v>
      </c>
      <c r="R856" s="692">
        <f>0.25*$R$849</f>
        <v>18.75</v>
      </c>
      <c r="S856" s="691"/>
      <c r="T856" s="691"/>
      <c r="U856" s="691"/>
    </row>
    <row r="857" spans="1:21" s="59" customFormat="1" ht="15.75">
      <c r="A857" s="426" t="s">
        <v>788</v>
      </c>
      <c r="B857" s="656" t="s">
        <v>150</v>
      </c>
      <c r="C857" s="396"/>
      <c r="D857" s="641" t="s">
        <v>890</v>
      </c>
      <c r="E857" s="397"/>
      <c r="F857" s="692">
        <f>0.1*$F$849</f>
        <v>7.8000000000000007</v>
      </c>
      <c r="G857" s="692"/>
      <c r="H857" s="691"/>
      <c r="I857" s="691"/>
      <c r="J857" s="691"/>
      <c r="K857" s="691"/>
      <c r="L857" s="691"/>
      <c r="M857" s="691"/>
      <c r="N857" s="692">
        <f>0.1*$N$849</f>
        <v>68.100000000000009</v>
      </c>
      <c r="O857" s="692">
        <f>0.1*$O$849</f>
        <v>63.5</v>
      </c>
      <c r="P857" s="692"/>
      <c r="Q857" s="692">
        <f>0.25*$Q$849</f>
        <v>18</v>
      </c>
      <c r="R857" s="692">
        <f>0.25*$R$849</f>
        <v>18.75</v>
      </c>
      <c r="S857" s="691"/>
      <c r="T857" s="691"/>
      <c r="U857" s="691"/>
    </row>
    <row r="858" spans="1:21" s="284" customFormat="1" ht="15.75">
      <c r="A858" s="426"/>
      <c r="B858" s="656"/>
      <c r="C858" s="396"/>
      <c r="D858" s="641"/>
      <c r="E858" s="397"/>
      <c r="F858" s="664">
        <f t="shared" ref="F858:U858" si="367">F849-SUM(F850:F857)</f>
        <v>0</v>
      </c>
      <c r="G858" s="664">
        <f t="shared" si="367"/>
        <v>0</v>
      </c>
      <c r="H858" s="664">
        <f t="shared" si="367"/>
        <v>0</v>
      </c>
      <c r="I858" s="664">
        <f t="shared" si="367"/>
        <v>0</v>
      </c>
      <c r="J858" s="664">
        <f t="shared" si="367"/>
        <v>0</v>
      </c>
      <c r="K858" s="664">
        <f t="shared" si="367"/>
        <v>0</v>
      </c>
      <c r="L858" s="664">
        <f t="shared" si="367"/>
        <v>0</v>
      </c>
      <c r="M858" s="664">
        <f t="shared" si="367"/>
        <v>0</v>
      </c>
      <c r="N858" s="664">
        <f t="shared" si="367"/>
        <v>0</v>
      </c>
      <c r="O858" s="664">
        <f t="shared" si="367"/>
        <v>0</v>
      </c>
      <c r="P858" s="664"/>
      <c r="Q858" s="664">
        <f t="shared" si="367"/>
        <v>0</v>
      </c>
      <c r="R858" s="664">
        <f t="shared" si="367"/>
        <v>0</v>
      </c>
      <c r="S858" s="664">
        <f t="shared" si="367"/>
        <v>0</v>
      </c>
      <c r="T858" s="664">
        <f t="shared" si="367"/>
        <v>0</v>
      </c>
      <c r="U858" s="664">
        <f t="shared" si="367"/>
        <v>0</v>
      </c>
    </row>
    <row r="859" spans="1:21" s="59" customFormat="1" ht="15.75">
      <c r="A859" s="769"/>
      <c r="B859" s="656"/>
      <c r="C859" s="404"/>
      <c r="D859" s="641"/>
      <c r="E859" s="405"/>
      <c r="F859" s="690"/>
      <c r="G859" s="679"/>
      <c r="H859" s="679"/>
      <c r="I859" s="679"/>
      <c r="J859" s="679"/>
      <c r="K859" s="679"/>
      <c r="L859" s="679"/>
      <c r="M859" s="679"/>
      <c r="N859" s="679"/>
      <c r="O859" s="679"/>
      <c r="P859" s="679"/>
      <c r="Q859" s="679"/>
      <c r="R859" s="679"/>
      <c r="S859" s="442"/>
      <c r="T859" s="442"/>
      <c r="U859" s="454"/>
    </row>
    <row r="860" spans="1:21" s="288" customFormat="1" ht="15.75">
      <c r="A860" s="417" t="s">
        <v>806</v>
      </c>
      <c r="B860" s="612" t="s">
        <v>900</v>
      </c>
      <c r="C860" s="427"/>
      <c r="D860" s="398"/>
      <c r="E860" s="399"/>
      <c r="F860" s="666">
        <f>TRUNC(0.01*F$583)</f>
        <v>26</v>
      </c>
      <c r="G860" s="666">
        <f>TRUNC(0.01*G$583)</f>
        <v>11</v>
      </c>
      <c r="H860" s="668">
        <f>TRUNC(0.01*H$583)</f>
        <v>11</v>
      </c>
      <c r="I860" s="668"/>
      <c r="J860" s="668"/>
      <c r="K860" s="668">
        <f>TRUNC(0.01*K$583)</f>
        <v>11</v>
      </c>
      <c r="L860" s="668">
        <f>TRUNC(0.013*L$583)</f>
        <v>30</v>
      </c>
      <c r="M860" s="668">
        <f>TRUNC(0.013*M$583)</f>
        <v>15</v>
      </c>
      <c r="N860" s="668">
        <f>TRUNC(0.05*N$583)</f>
        <v>57</v>
      </c>
      <c r="O860" s="668">
        <f>TRUNC(0.05*O$583)</f>
        <v>57</v>
      </c>
      <c r="P860" s="668"/>
      <c r="Q860" s="668">
        <f>TRUNC(0.01*Q$583)</f>
        <v>34</v>
      </c>
      <c r="R860" s="668">
        <f>TRUNC(0.01*R$583)</f>
        <v>34</v>
      </c>
      <c r="S860" s="400">
        <v>0</v>
      </c>
      <c r="T860" s="400">
        <v>0</v>
      </c>
      <c r="U860" s="400">
        <v>0</v>
      </c>
    </row>
    <row r="861" spans="1:21" s="59" customFormat="1" ht="15.75">
      <c r="A861" s="769" t="s">
        <v>807</v>
      </c>
      <c r="B861" s="658" t="s">
        <v>326</v>
      </c>
      <c r="C861" s="404"/>
      <c r="D861" s="641" t="s">
        <v>890</v>
      </c>
      <c r="E861" s="405"/>
      <c r="F861" s="692">
        <f>0.2*$F$860</f>
        <v>5.2</v>
      </c>
      <c r="G861" s="692">
        <f>0.2*$G$860</f>
        <v>2.2000000000000002</v>
      </c>
      <c r="H861" s="692">
        <f>0.5*$H$860</f>
        <v>5.5</v>
      </c>
      <c r="I861" s="692"/>
      <c r="J861" s="692"/>
      <c r="K861" s="692"/>
      <c r="L861" s="671">
        <f>0.2*$L$860</f>
        <v>6</v>
      </c>
      <c r="M861" s="692">
        <f>0.5*$M$860</f>
        <v>7.5</v>
      </c>
      <c r="N861" s="692"/>
      <c r="O861" s="692"/>
      <c r="P861" s="692"/>
      <c r="Q861" s="692"/>
      <c r="R861" s="692"/>
      <c r="S861" s="692"/>
      <c r="T861" s="692"/>
      <c r="U861" s="692"/>
    </row>
    <row r="862" spans="1:21" s="59" customFormat="1" ht="15.75">
      <c r="A862" s="769" t="s">
        <v>808</v>
      </c>
      <c r="B862" s="658" t="s">
        <v>135</v>
      </c>
      <c r="C862" s="404"/>
      <c r="D862" s="641" t="s">
        <v>890</v>
      </c>
      <c r="E862" s="405"/>
      <c r="F862" s="692">
        <f>0.2*$F$860</f>
        <v>5.2</v>
      </c>
      <c r="G862" s="692">
        <f>0.2*$G$860</f>
        <v>2.2000000000000002</v>
      </c>
      <c r="H862" s="692">
        <f>0.5*$H$860</f>
        <v>5.5</v>
      </c>
      <c r="I862" s="692"/>
      <c r="J862" s="692"/>
      <c r="K862" s="692"/>
      <c r="L862" s="671">
        <f>0.2*$L$860</f>
        <v>6</v>
      </c>
      <c r="M862" s="692"/>
      <c r="N862" s="692"/>
      <c r="O862" s="692"/>
      <c r="P862" s="692"/>
      <c r="Q862" s="692"/>
      <c r="R862" s="692"/>
      <c r="S862" s="692"/>
      <c r="T862" s="692"/>
      <c r="U862" s="692"/>
    </row>
    <row r="863" spans="1:21" s="402" customFormat="1" ht="15.75">
      <c r="A863" s="657" t="s">
        <v>809</v>
      </c>
      <c r="B863" s="658" t="s">
        <v>112</v>
      </c>
      <c r="C863" s="429"/>
      <c r="D863" s="430" t="s">
        <v>890</v>
      </c>
      <c r="E863" s="431"/>
      <c r="F863" s="692"/>
      <c r="G863" s="692">
        <f>0.2*$G$860</f>
        <v>2.2000000000000002</v>
      </c>
      <c r="H863" s="692"/>
      <c r="I863" s="692"/>
      <c r="J863" s="692"/>
      <c r="K863" s="692"/>
      <c r="L863" s="671">
        <f>0.1*$L$860</f>
        <v>3</v>
      </c>
      <c r="M863" s="692">
        <f>0.5*$M$860</f>
        <v>7.5</v>
      </c>
      <c r="N863" s="692"/>
      <c r="O863" s="692"/>
      <c r="P863" s="692"/>
      <c r="Q863" s="692"/>
      <c r="R863" s="692"/>
      <c r="S863" s="692"/>
      <c r="T863" s="692"/>
      <c r="U863" s="692"/>
    </row>
    <row r="864" spans="1:21" s="402" customFormat="1" ht="15.75">
      <c r="A864" s="657" t="s">
        <v>810</v>
      </c>
      <c r="B864" s="658" t="s">
        <v>152</v>
      </c>
      <c r="C864" s="429"/>
      <c r="D864" s="430" t="s">
        <v>890</v>
      </c>
      <c r="E864" s="431"/>
      <c r="F864" s="692">
        <f>0.2*$F$860</f>
        <v>5.2</v>
      </c>
      <c r="G864" s="692"/>
      <c r="H864" s="692"/>
      <c r="I864" s="692"/>
      <c r="J864" s="692"/>
      <c r="K864" s="692"/>
      <c r="L864" s="671">
        <f>0.1*$L$860</f>
        <v>3</v>
      </c>
      <c r="M864" s="692"/>
      <c r="N864" s="692"/>
      <c r="O864" s="692"/>
      <c r="P864" s="692"/>
      <c r="Q864" s="692"/>
      <c r="R864" s="692"/>
      <c r="S864" s="692"/>
      <c r="T864" s="692"/>
      <c r="U864" s="692"/>
    </row>
    <row r="865" spans="1:21" s="402" customFormat="1" ht="15.75">
      <c r="A865" s="657" t="s">
        <v>811</v>
      </c>
      <c r="B865" s="658" t="s">
        <v>105</v>
      </c>
      <c r="C865" s="429"/>
      <c r="D865" s="430" t="s">
        <v>890</v>
      </c>
      <c r="E865" s="431"/>
      <c r="F865" s="692">
        <f>0.2*$F$860</f>
        <v>5.2</v>
      </c>
      <c r="G865" s="692">
        <f>0.2*$G$860</f>
        <v>2.2000000000000002</v>
      </c>
      <c r="H865" s="692"/>
      <c r="I865" s="692"/>
      <c r="J865" s="692"/>
      <c r="K865" s="692">
        <f>0.5*$K$860</f>
        <v>5.5</v>
      </c>
      <c r="L865" s="671">
        <f>0.2*$L$860</f>
        <v>6</v>
      </c>
      <c r="M865" s="692"/>
      <c r="N865" s="692">
        <f>0.25*$N$860</f>
        <v>14.25</v>
      </c>
      <c r="O865" s="692">
        <f>0.25*$O$860</f>
        <v>14.25</v>
      </c>
      <c r="P865" s="692"/>
      <c r="Q865" s="692">
        <f>0.25*$Q$860</f>
        <v>8.5</v>
      </c>
      <c r="R865" s="692">
        <f>0.25*$R$860</f>
        <v>8.5</v>
      </c>
      <c r="S865" s="692"/>
      <c r="T865" s="692"/>
      <c r="U865" s="692"/>
    </row>
    <row r="866" spans="1:21" s="402" customFormat="1" ht="15.75">
      <c r="A866" s="657" t="s">
        <v>812</v>
      </c>
      <c r="B866" s="658" t="s">
        <v>595</v>
      </c>
      <c r="C866" s="429"/>
      <c r="D866" s="430" t="s">
        <v>890</v>
      </c>
      <c r="E866" s="431"/>
      <c r="F866" s="692">
        <f>0.2*$F$860</f>
        <v>5.2</v>
      </c>
      <c r="G866" s="692">
        <f>0.2*$G$860</f>
        <v>2.2000000000000002</v>
      </c>
      <c r="H866" s="692"/>
      <c r="I866" s="692"/>
      <c r="J866" s="692"/>
      <c r="K866" s="692">
        <f>0.5*$K$860</f>
        <v>5.5</v>
      </c>
      <c r="L866" s="671">
        <f>0.1*$L$860</f>
        <v>3</v>
      </c>
      <c r="M866" s="692"/>
      <c r="N866" s="692">
        <f>0.25*$N$860</f>
        <v>14.25</v>
      </c>
      <c r="O866" s="692">
        <f>0.25*$O$860</f>
        <v>14.25</v>
      </c>
      <c r="P866" s="692"/>
      <c r="Q866" s="692">
        <f>0.25*$Q$860</f>
        <v>8.5</v>
      </c>
      <c r="R866" s="692">
        <f>0.25*$R$860</f>
        <v>8.5</v>
      </c>
      <c r="S866" s="692"/>
      <c r="T866" s="692"/>
      <c r="U866" s="692"/>
    </row>
    <row r="867" spans="1:21" s="402" customFormat="1" ht="15.75">
      <c r="A867" s="657" t="s">
        <v>813</v>
      </c>
      <c r="B867" s="658" t="s">
        <v>597</v>
      </c>
      <c r="C867" s="434"/>
      <c r="D867" s="430" t="s">
        <v>890</v>
      </c>
      <c r="E867" s="435"/>
      <c r="F867" s="692"/>
      <c r="G867" s="692"/>
      <c r="H867" s="692"/>
      <c r="I867" s="692"/>
      <c r="J867" s="692"/>
      <c r="K867" s="692"/>
      <c r="L867" s="671"/>
      <c r="M867" s="692"/>
      <c r="N867" s="692">
        <f>0.25*$N$860</f>
        <v>14.25</v>
      </c>
      <c r="O867" s="692">
        <f>0.25*$O$860</f>
        <v>14.25</v>
      </c>
      <c r="P867" s="692"/>
      <c r="Q867" s="692">
        <f>0.25*$Q$860</f>
        <v>8.5</v>
      </c>
      <c r="R867" s="692">
        <f>0.25*$R$860</f>
        <v>8.5</v>
      </c>
      <c r="S867" s="692"/>
      <c r="T867" s="692"/>
      <c r="U867" s="692"/>
    </row>
    <row r="868" spans="1:21" s="59" customFormat="1" ht="15.75">
      <c r="A868" s="769" t="s">
        <v>814</v>
      </c>
      <c r="B868" s="656" t="s">
        <v>150</v>
      </c>
      <c r="C868" s="396"/>
      <c r="D868" s="641" t="s">
        <v>890</v>
      </c>
      <c r="E868" s="397"/>
      <c r="F868" s="692"/>
      <c r="G868" s="692"/>
      <c r="H868" s="692"/>
      <c r="I868" s="692"/>
      <c r="J868" s="692"/>
      <c r="K868" s="692"/>
      <c r="L868" s="671">
        <f>0.1*$L$860</f>
        <v>3</v>
      </c>
      <c r="M868" s="692"/>
      <c r="N868" s="692">
        <f>0.25*$N$860</f>
        <v>14.25</v>
      </c>
      <c r="O868" s="692">
        <f>0.25*$O$860</f>
        <v>14.25</v>
      </c>
      <c r="P868" s="692"/>
      <c r="Q868" s="692">
        <f>0.25*$Q$860</f>
        <v>8.5</v>
      </c>
      <c r="R868" s="692">
        <f>0.25*$R$860</f>
        <v>8.5</v>
      </c>
      <c r="S868" s="692"/>
      <c r="T868" s="692"/>
      <c r="U868" s="692"/>
    </row>
    <row r="869" spans="1:21" s="284" customFormat="1" ht="15.75">
      <c r="A869" s="769"/>
      <c r="B869" s="656"/>
      <c r="C869" s="404"/>
      <c r="D869" s="641"/>
      <c r="E869" s="405"/>
      <c r="F869" s="664">
        <f t="shared" ref="F869:U869" si="368">F860-SUM(F861:F868)</f>
        <v>0</v>
      </c>
      <c r="G869" s="664">
        <f t="shared" si="368"/>
        <v>0</v>
      </c>
      <c r="H869" s="664">
        <f t="shared" si="368"/>
        <v>0</v>
      </c>
      <c r="I869" s="664">
        <f t="shared" si="368"/>
        <v>0</v>
      </c>
      <c r="J869" s="664">
        <f t="shared" si="368"/>
        <v>0</v>
      </c>
      <c r="K869" s="664">
        <f t="shared" si="368"/>
        <v>0</v>
      </c>
      <c r="L869" s="664">
        <f t="shared" si="368"/>
        <v>0</v>
      </c>
      <c r="M869" s="664">
        <f t="shared" si="368"/>
        <v>0</v>
      </c>
      <c r="N869" s="664">
        <f t="shared" si="368"/>
        <v>0</v>
      </c>
      <c r="O869" s="664">
        <f t="shared" si="368"/>
        <v>0</v>
      </c>
      <c r="P869" s="664"/>
      <c r="Q869" s="664">
        <f t="shared" si="368"/>
        <v>0</v>
      </c>
      <c r="R869" s="664">
        <f t="shared" si="368"/>
        <v>0</v>
      </c>
      <c r="S869" s="664">
        <f t="shared" si="368"/>
        <v>0</v>
      </c>
      <c r="T869" s="664">
        <f t="shared" si="368"/>
        <v>0</v>
      </c>
      <c r="U869" s="664">
        <f t="shared" si="368"/>
        <v>0</v>
      </c>
    </row>
    <row r="870" spans="1:21" s="59" customFormat="1" ht="15.75">
      <c r="A870" s="769"/>
      <c r="B870" s="656"/>
      <c r="C870" s="404"/>
      <c r="D870" s="641"/>
      <c r="E870" s="405"/>
      <c r="F870" s="690"/>
      <c r="G870" s="679"/>
      <c r="H870" s="679"/>
      <c r="I870" s="679"/>
      <c r="J870" s="679"/>
      <c r="K870" s="679"/>
      <c r="L870" s="679"/>
      <c r="M870" s="679"/>
      <c r="N870" s="679"/>
      <c r="O870" s="679"/>
      <c r="P870" s="679"/>
      <c r="Q870" s="679"/>
      <c r="R870" s="679"/>
      <c r="S870" s="442"/>
      <c r="T870" s="442"/>
      <c r="U870" s="454"/>
    </row>
    <row r="871" spans="1:21" s="401" customFormat="1" ht="15.75">
      <c r="A871" s="417" t="s">
        <v>815</v>
      </c>
      <c r="B871" s="617" t="s">
        <v>272</v>
      </c>
      <c r="C871" s="427"/>
      <c r="D871" s="398"/>
      <c r="E871" s="399"/>
      <c r="F871" s="666">
        <f>TRUNC(0.01*F$583)</f>
        <v>26</v>
      </c>
      <c r="G871" s="666">
        <f>TRUNC(0.01*G$583)</f>
        <v>11</v>
      </c>
      <c r="H871" s="668">
        <f>TRUNC(0.01*H$583)</f>
        <v>11</v>
      </c>
      <c r="I871" s="668"/>
      <c r="J871" s="668"/>
      <c r="K871" s="668">
        <f>TRUNC(0.01*K$583)</f>
        <v>11</v>
      </c>
      <c r="L871" s="666"/>
      <c r="M871" s="666"/>
      <c r="N871" s="668">
        <f>TRUNC(0.04*N$583)</f>
        <v>46</v>
      </c>
      <c r="O871" s="668">
        <f>TRUNC(0.041*O$583)</f>
        <v>47</v>
      </c>
      <c r="P871" s="668"/>
      <c r="Q871" s="668">
        <f>TRUNC(0.01*Q$583)</f>
        <v>34</v>
      </c>
      <c r="R871" s="668">
        <f>TRUNC(0.01*R$583)</f>
        <v>34</v>
      </c>
      <c r="S871" s="400">
        <v>0</v>
      </c>
      <c r="T871" s="400">
        <v>0</v>
      </c>
      <c r="U871" s="400">
        <v>0</v>
      </c>
    </row>
    <row r="872" spans="1:21" s="395" customFormat="1" ht="15.75">
      <c r="A872" s="769" t="s">
        <v>816</v>
      </c>
      <c r="B872" s="658" t="s">
        <v>326</v>
      </c>
      <c r="C872" s="404"/>
      <c r="D872" s="641" t="s">
        <v>890</v>
      </c>
      <c r="E872" s="405"/>
      <c r="F872" s="692">
        <f>0.2*$F$871</f>
        <v>5.2</v>
      </c>
      <c r="G872" s="692">
        <f>0.2*$G$871</f>
        <v>2.2000000000000002</v>
      </c>
      <c r="H872" s="692">
        <f>0.5*$H$871</f>
        <v>5.5</v>
      </c>
      <c r="I872" s="692"/>
      <c r="J872" s="692"/>
      <c r="K872" s="692"/>
      <c r="L872" s="692"/>
      <c r="M872" s="692"/>
      <c r="N872" s="692">
        <f>0.2*$N$871</f>
        <v>9.2000000000000011</v>
      </c>
      <c r="O872" s="692">
        <f>0.2*$O$871</f>
        <v>9.4</v>
      </c>
      <c r="P872" s="692"/>
      <c r="Q872" s="692"/>
      <c r="R872" s="692"/>
      <c r="S872" s="692"/>
      <c r="T872" s="692"/>
      <c r="U872" s="692"/>
    </row>
    <row r="873" spans="1:21" s="395" customFormat="1" ht="15.75">
      <c r="A873" s="769" t="s">
        <v>817</v>
      </c>
      <c r="B873" s="658" t="s">
        <v>135</v>
      </c>
      <c r="C873" s="404"/>
      <c r="D873" s="641" t="s">
        <v>890</v>
      </c>
      <c r="E873" s="405"/>
      <c r="F873" s="692">
        <f>0.2*$F$871</f>
        <v>5.2</v>
      </c>
      <c r="G873" s="692">
        <f>0.2*$G$871</f>
        <v>2.2000000000000002</v>
      </c>
      <c r="H873" s="692">
        <f>0.5*$H$871</f>
        <v>5.5</v>
      </c>
      <c r="I873" s="692"/>
      <c r="J873" s="692"/>
      <c r="K873" s="692"/>
      <c r="L873" s="692"/>
      <c r="M873" s="692"/>
      <c r="N873" s="692">
        <f>0.2*$N$871</f>
        <v>9.2000000000000011</v>
      </c>
      <c r="O873" s="692">
        <f>0.2*$O$871</f>
        <v>9.4</v>
      </c>
      <c r="P873" s="692"/>
      <c r="Q873" s="692"/>
      <c r="R873" s="692"/>
      <c r="S873" s="692"/>
      <c r="T873" s="692"/>
      <c r="U873" s="692"/>
    </row>
    <row r="874" spans="1:21" s="402" customFormat="1" ht="15.75">
      <c r="A874" s="769" t="s">
        <v>818</v>
      </c>
      <c r="B874" s="658" t="s">
        <v>112</v>
      </c>
      <c r="C874" s="429"/>
      <c r="D874" s="430" t="s">
        <v>890</v>
      </c>
      <c r="E874" s="431"/>
      <c r="F874" s="692">
        <f>0.2*$F$871</f>
        <v>5.2</v>
      </c>
      <c r="G874" s="692">
        <f>0.2*$G$871</f>
        <v>2.2000000000000002</v>
      </c>
      <c r="H874" s="692"/>
      <c r="I874" s="692"/>
      <c r="J874" s="692"/>
      <c r="K874" s="692"/>
      <c r="L874" s="692"/>
      <c r="M874" s="692"/>
      <c r="N874" s="692">
        <f>0.2*$N$871</f>
        <v>9.2000000000000011</v>
      </c>
      <c r="O874" s="692">
        <f>0.2*$O$871</f>
        <v>9.4</v>
      </c>
      <c r="P874" s="692"/>
      <c r="Q874" s="692"/>
      <c r="R874" s="692"/>
      <c r="S874" s="692"/>
      <c r="T874" s="692"/>
      <c r="U874" s="692"/>
    </row>
    <row r="875" spans="1:21" s="402" customFormat="1" ht="15.75">
      <c r="A875" s="769" t="s">
        <v>819</v>
      </c>
      <c r="B875" s="658" t="s">
        <v>105</v>
      </c>
      <c r="C875" s="429"/>
      <c r="D875" s="430" t="s">
        <v>890</v>
      </c>
      <c r="E875" s="431"/>
      <c r="F875" s="692">
        <f>0.2*$F$871</f>
        <v>5.2</v>
      </c>
      <c r="G875" s="692">
        <f>0.2*$G$871</f>
        <v>2.2000000000000002</v>
      </c>
      <c r="H875" s="692"/>
      <c r="I875" s="692"/>
      <c r="J875" s="692"/>
      <c r="K875" s="692">
        <f>0.5*$K$871</f>
        <v>5.5</v>
      </c>
      <c r="L875" s="692"/>
      <c r="M875" s="692"/>
      <c r="N875" s="692">
        <f>0.2*$N$871</f>
        <v>9.2000000000000011</v>
      </c>
      <c r="O875" s="692">
        <f>0.2*$O$871</f>
        <v>9.4</v>
      </c>
      <c r="P875" s="692"/>
      <c r="Q875" s="692">
        <f>0.25*$Q$871</f>
        <v>8.5</v>
      </c>
      <c r="R875" s="692">
        <f>0.25*$R$871</f>
        <v>8.5</v>
      </c>
      <c r="S875" s="692"/>
      <c r="T875" s="692"/>
      <c r="U875" s="692"/>
    </row>
    <row r="876" spans="1:21" s="402" customFormat="1" ht="15.75">
      <c r="A876" s="769" t="s">
        <v>820</v>
      </c>
      <c r="B876" s="658" t="s">
        <v>595</v>
      </c>
      <c r="C876" s="429"/>
      <c r="D876" s="430" t="s">
        <v>890</v>
      </c>
      <c r="E876" s="431"/>
      <c r="F876" s="692">
        <f>0.2*$F$871</f>
        <v>5.2</v>
      </c>
      <c r="G876" s="692">
        <f>0.2*$G$871</f>
        <v>2.2000000000000002</v>
      </c>
      <c r="H876" s="692"/>
      <c r="I876" s="692"/>
      <c r="J876" s="692"/>
      <c r="K876" s="692">
        <f>0.5*$K$871</f>
        <v>5.5</v>
      </c>
      <c r="L876" s="692"/>
      <c r="M876" s="692"/>
      <c r="N876" s="692">
        <f>0.1*$N$871</f>
        <v>4.6000000000000005</v>
      </c>
      <c r="O876" s="692">
        <f>0.2*$O$871</f>
        <v>9.4</v>
      </c>
      <c r="P876" s="692"/>
      <c r="Q876" s="692">
        <f>0.25*$Q$871</f>
        <v>8.5</v>
      </c>
      <c r="R876" s="692">
        <f>0.25*$R$871</f>
        <v>8.5</v>
      </c>
      <c r="S876" s="692"/>
      <c r="T876" s="692"/>
      <c r="U876" s="692"/>
    </row>
    <row r="877" spans="1:21" s="402" customFormat="1" ht="15.75">
      <c r="A877" s="769" t="s">
        <v>821</v>
      </c>
      <c r="B877" s="658" t="s">
        <v>597</v>
      </c>
      <c r="C877" s="434"/>
      <c r="D877" s="430" t="s">
        <v>890</v>
      </c>
      <c r="E877" s="435"/>
      <c r="F877" s="692"/>
      <c r="G877" s="692"/>
      <c r="H877" s="692"/>
      <c r="I877" s="692"/>
      <c r="J877" s="692"/>
      <c r="K877" s="692"/>
      <c r="L877" s="692"/>
      <c r="M877" s="692"/>
      <c r="N877" s="692"/>
      <c r="O877" s="692"/>
      <c r="P877" s="692"/>
      <c r="Q877" s="692">
        <f>0.25*$Q$871</f>
        <v>8.5</v>
      </c>
      <c r="R877" s="692">
        <f>0.25*$R$871</f>
        <v>8.5</v>
      </c>
      <c r="S877" s="692"/>
      <c r="T877" s="692"/>
      <c r="U877" s="692"/>
    </row>
    <row r="878" spans="1:21" s="395" customFormat="1" ht="15.75">
      <c r="A878" s="769" t="s">
        <v>822</v>
      </c>
      <c r="B878" s="656" t="s">
        <v>150</v>
      </c>
      <c r="C878" s="396"/>
      <c r="D878" s="641" t="s">
        <v>890</v>
      </c>
      <c r="E878" s="397"/>
      <c r="F878" s="692"/>
      <c r="G878" s="692"/>
      <c r="H878" s="692"/>
      <c r="I878" s="692"/>
      <c r="J878" s="692"/>
      <c r="K878" s="692"/>
      <c r="L878" s="692"/>
      <c r="M878" s="692"/>
      <c r="N878" s="692">
        <f>0.1*$N$871</f>
        <v>4.6000000000000005</v>
      </c>
      <c r="O878" s="692"/>
      <c r="P878" s="692"/>
      <c r="Q878" s="692">
        <f>0.25*$Q$871</f>
        <v>8.5</v>
      </c>
      <c r="R878" s="692">
        <f>0.25*$R$871</f>
        <v>8.5</v>
      </c>
      <c r="S878" s="692"/>
      <c r="T878" s="692"/>
      <c r="U878" s="692"/>
    </row>
    <row r="879" spans="1:21" s="395" customFormat="1" ht="15.75">
      <c r="A879" s="769"/>
      <c r="B879" s="656"/>
      <c r="C879" s="404"/>
      <c r="D879" s="641"/>
      <c r="E879" s="405"/>
      <c r="F879" s="664">
        <f t="shared" ref="F879:U879" si="369">F871-SUM(F872:F878)</f>
        <v>0</v>
      </c>
      <c r="G879" s="664">
        <f t="shared" si="369"/>
        <v>0</v>
      </c>
      <c r="H879" s="664">
        <f t="shared" si="369"/>
        <v>0</v>
      </c>
      <c r="I879" s="664">
        <f t="shared" si="369"/>
        <v>0</v>
      </c>
      <c r="J879" s="664">
        <f t="shared" si="369"/>
        <v>0</v>
      </c>
      <c r="K879" s="664">
        <f t="shared" si="369"/>
        <v>0</v>
      </c>
      <c r="L879" s="664">
        <f t="shared" si="369"/>
        <v>0</v>
      </c>
      <c r="M879" s="664">
        <f t="shared" si="369"/>
        <v>0</v>
      </c>
      <c r="N879" s="664">
        <f t="shared" si="369"/>
        <v>0</v>
      </c>
      <c r="O879" s="664">
        <f t="shared" si="369"/>
        <v>0</v>
      </c>
      <c r="P879" s="664"/>
      <c r="Q879" s="664">
        <f t="shared" si="369"/>
        <v>0</v>
      </c>
      <c r="R879" s="664">
        <f t="shared" si="369"/>
        <v>0</v>
      </c>
      <c r="S879" s="664">
        <f t="shared" si="369"/>
        <v>0</v>
      </c>
      <c r="T879" s="664">
        <f t="shared" si="369"/>
        <v>0</v>
      </c>
      <c r="U879" s="664">
        <f t="shared" si="369"/>
        <v>0</v>
      </c>
    </row>
    <row r="880" spans="1:21" s="395" customFormat="1" ht="15.75">
      <c r="A880" s="769"/>
      <c r="B880" s="656"/>
      <c r="C880" s="404"/>
      <c r="D880" s="641"/>
      <c r="E880" s="405"/>
      <c r="F880" s="690"/>
      <c r="G880" s="679"/>
      <c r="H880" s="679"/>
      <c r="I880" s="679"/>
      <c r="J880" s="679"/>
      <c r="K880" s="679"/>
      <c r="L880" s="679"/>
      <c r="M880" s="679"/>
      <c r="N880" s="679"/>
      <c r="O880" s="679"/>
      <c r="P880" s="679"/>
      <c r="Q880" s="679"/>
      <c r="R880" s="679"/>
      <c r="S880" s="442"/>
      <c r="T880" s="442"/>
      <c r="U880" s="454"/>
    </row>
    <row r="881" spans="1:21" s="288" customFormat="1" ht="15.75">
      <c r="A881" s="417" t="s">
        <v>823</v>
      </c>
      <c r="B881" s="693" t="s">
        <v>277</v>
      </c>
      <c r="C881" s="427"/>
      <c r="D881" s="398"/>
      <c r="E881" s="399"/>
      <c r="F881" s="666">
        <f>TRUNC(0.01*F$583)</f>
        <v>26</v>
      </c>
      <c r="G881" s="666">
        <f>TRUNC(0.01*G$583)</f>
        <v>11</v>
      </c>
      <c r="H881" s="668">
        <f>TRUNC(0.01*H$583)</f>
        <v>11</v>
      </c>
      <c r="I881" s="668"/>
      <c r="J881" s="668"/>
      <c r="K881" s="668">
        <f>TRUNC(0.01*K$583)</f>
        <v>11</v>
      </c>
      <c r="L881" s="666"/>
      <c r="M881" s="666"/>
      <c r="N881" s="668">
        <f>TRUNC(0.0635*N$583)</f>
        <v>73</v>
      </c>
      <c r="O881" s="668">
        <f>TRUNC(0.082*O$583)</f>
        <v>94</v>
      </c>
      <c r="P881" s="668"/>
      <c r="Q881" s="668"/>
      <c r="R881" s="668"/>
      <c r="S881" s="400">
        <v>0</v>
      </c>
      <c r="T881" s="400">
        <v>0</v>
      </c>
      <c r="U881" s="328">
        <v>0</v>
      </c>
    </row>
    <row r="882" spans="1:21" s="59" customFormat="1" ht="15.75">
      <c r="A882" s="769" t="s">
        <v>824</v>
      </c>
      <c r="B882" s="658" t="s">
        <v>326</v>
      </c>
      <c r="C882" s="404"/>
      <c r="D882" s="641" t="s">
        <v>890</v>
      </c>
      <c r="E882" s="405"/>
      <c r="F882" s="692">
        <f>0.2*$F$881</f>
        <v>5.2</v>
      </c>
      <c r="G882" s="692">
        <f>0.2*$G$881</f>
        <v>2.2000000000000002</v>
      </c>
      <c r="H882" s="692">
        <f>0.5*$H$881</f>
        <v>5.5</v>
      </c>
      <c r="I882" s="692"/>
      <c r="J882" s="692"/>
      <c r="K882" s="692"/>
      <c r="L882" s="692"/>
      <c r="M882" s="692"/>
      <c r="N882" s="692">
        <f>0.2*$N$881</f>
        <v>14.600000000000001</v>
      </c>
      <c r="O882" s="692">
        <f>0.2*$O$881</f>
        <v>18.8</v>
      </c>
      <c r="P882" s="692"/>
      <c r="Q882" s="692"/>
      <c r="R882" s="692"/>
      <c r="S882" s="692"/>
      <c r="T882" s="692"/>
      <c r="U882" s="692"/>
    </row>
    <row r="883" spans="1:21" s="59" customFormat="1" ht="15.75">
      <c r="A883" s="769" t="s">
        <v>825</v>
      </c>
      <c r="B883" s="658" t="s">
        <v>135</v>
      </c>
      <c r="C883" s="404"/>
      <c r="D883" s="641" t="s">
        <v>890</v>
      </c>
      <c r="E883" s="405"/>
      <c r="F883" s="692">
        <f>0.2*$F$881</f>
        <v>5.2</v>
      </c>
      <c r="G883" s="692">
        <f>0.2*$G$881</f>
        <v>2.2000000000000002</v>
      </c>
      <c r="H883" s="692">
        <f>0.5*$H$881</f>
        <v>5.5</v>
      </c>
      <c r="I883" s="692"/>
      <c r="J883" s="692"/>
      <c r="K883" s="692"/>
      <c r="L883" s="692"/>
      <c r="M883" s="692"/>
      <c r="N883" s="692">
        <f>0.2*$N$881</f>
        <v>14.600000000000001</v>
      </c>
      <c r="O883" s="692">
        <f>0.2*$O$881</f>
        <v>18.8</v>
      </c>
      <c r="P883" s="692"/>
      <c r="Q883" s="692"/>
      <c r="R883" s="692"/>
      <c r="S883" s="692"/>
      <c r="T883" s="692"/>
      <c r="U883" s="692"/>
    </row>
    <row r="884" spans="1:21" s="420" customFormat="1" ht="15.75">
      <c r="A884" s="769" t="s">
        <v>826</v>
      </c>
      <c r="B884" s="658" t="s">
        <v>112</v>
      </c>
      <c r="C884" s="429"/>
      <c r="D884" s="430" t="s">
        <v>890</v>
      </c>
      <c r="E884" s="431"/>
      <c r="F884" s="692">
        <f>0.2*$F$881</f>
        <v>5.2</v>
      </c>
      <c r="G884" s="692">
        <f>0.2*$G$881</f>
        <v>2.2000000000000002</v>
      </c>
      <c r="H884" s="692"/>
      <c r="I884" s="692"/>
      <c r="J884" s="692"/>
      <c r="K884" s="692"/>
      <c r="L884" s="692"/>
      <c r="M884" s="692"/>
      <c r="N884" s="692">
        <f>0.2*$N$881</f>
        <v>14.600000000000001</v>
      </c>
      <c r="O884" s="692">
        <f>0.2*$O$881</f>
        <v>18.8</v>
      </c>
      <c r="P884" s="692"/>
      <c r="Q884" s="692"/>
      <c r="R884" s="692"/>
      <c r="S884" s="692"/>
      <c r="T884" s="692"/>
      <c r="U884" s="692"/>
    </row>
    <row r="885" spans="1:21" s="420" customFormat="1" ht="15.75">
      <c r="A885" s="769" t="s">
        <v>827</v>
      </c>
      <c r="B885" s="658" t="s">
        <v>105</v>
      </c>
      <c r="C885" s="429"/>
      <c r="D885" s="430" t="s">
        <v>890</v>
      </c>
      <c r="E885" s="431"/>
      <c r="F885" s="692">
        <f>0.2*$F$881</f>
        <v>5.2</v>
      </c>
      <c r="G885" s="692">
        <f>0.2*$G$881</f>
        <v>2.2000000000000002</v>
      </c>
      <c r="H885" s="692"/>
      <c r="I885" s="692"/>
      <c r="J885" s="692"/>
      <c r="K885" s="692">
        <f>0.5*$K$881</f>
        <v>5.5</v>
      </c>
      <c r="L885" s="692"/>
      <c r="M885" s="692"/>
      <c r="N885" s="692">
        <f>0.2*$N$881</f>
        <v>14.600000000000001</v>
      </c>
      <c r="O885" s="692">
        <f>0.2*$O$881</f>
        <v>18.8</v>
      </c>
      <c r="P885" s="692"/>
      <c r="Q885" s="692"/>
      <c r="R885" s="692"/>
      <c r="S885" s="692"/>
      <c r="T885" s="692"/>
      <c r="U885" s="692"/>
    </row>
    <row r="886" spans="1:21" s="420" customFormat="1" ht="15.75">
      <c r="A886" s="769" t="s">
        <v>828</v>
      </c>
      <c r="B886" s="658" t="s">
        <v>595</v>
      </c>
      <c r="C886" s="429"/>
      <c r="D886" s="430" t="s">
        <v>890</v>
      </c>
      <c r="E886" s="431"/>
      <c r="F886" s="692">
        <f>0.1*$F$881</f>
        <v>2.6</v>
      </c>
      <c r="G886" s="692">
        <f>0.2*$G$881</f>
        <v>2.2000000000000002</v>
      </c>
      <c r="H886" s="692"/>
      <c r="I886" s="692"/>
      <c r="J886" s="692"/>
      <c r="K886" s="692">
        <f>0.5*$K$881</f>
        <v>5.5</v>
      </c>
      <c r="L886" s="692"/>
      <c r="M886" s="692"/>
      <c r="N886" s="692">
        <f>0.1*$N$881</f>
        <v>7.3000000000000007</v>
      </c>
      <c r="O886" s="692">
        <f>0.2*$O$881</f>
        <v>18.8</v>
      </c>
      <c r="P886" s="692"/>
      <c r="Q886" s="692"/>
      <c r="R886" s="692"/>
      <c r="S886" s="692"/>
      <c r="T886" s="692"/>
      <c r="U886" s="692"/>
    </row>
    <row r="887" spans="1:21" s="59" customFormat="1" ht="15.75">
      <c r="A887" s="769" t="s">
        <v>829</v>
      </c>
      <c r="B887" s="658" t="s">
        <v>597</v>
      </c>
      <c r="C887" s="396"/>
      <c r="D887" s="641" t="s">
        <v>890</v>
      </c>
      <c r="E887" s="397"/>
      <c r="F887" s="692">
        <f>0.1*$F$881</f>
        <v>2.6</v>
      </c>
      <c r="G887" s="692"/>
      <c r="H887" s="692"/>
      <c r="I887" s="692"/>
      <c r="J887" s="692"/>
      <c r="K887" s="692"/>
      <c r="L887" s="692"/>
      <c r="M887" s="692"/>
      <c r="N887" s="692"/>
      <c r="O887" s="692"/>
      <c r="P887" s="692"/>
      <c r="Q887" s="692"/>
      <c r="R887" s="692"/>
      <c r="S887" s="692"/>
      <c r="T887" s="692"/>
      <c r="U887" s="692"/>
    </row>
    <row r="888" spans="1:21" s="59" customFormat="1" ht="15.75">
      <c r="A888" s="769" t="s">
        <v>830</v>
      </c>
      <c r="B888" s="656" t="s">
        <v>150</v>
      </c>
      <c r="C888" s="396"/>
      <c r="D888" s="641" t="s">
        <v>890</v>
      </c>
      <c r="E888" s="397"/>
      <c r="F888" s="692"/>
      <c r="G888" s="692"/>
      <c r="H888" s="692"/>
      <c r="I888" s="692"/>
      <c r="J888" s="692"/>
      <c r="K888" s="692"/>
      <c r="L888" s="692"/>
      <c r="M888" s="692"/>
      <c r="N888" s="692">
        <f>0.1*$N$881</f>
        <v>7.3000000000000007</v>
      </c>
      <c r="O888" s="692"/>
      <c r="P888" s="692"/>
      <c r="Q888" s="692"/>
      <c r="R888" s="692"/>
      <c r="S888" s="692"/>
      <c r="T888" s="692"/>
      <c r="U888" s="692"/>
    </row>
    <row r="889" spans="1:21" s="284" customFormat="1" ht="15.75">
      <c r="A889" s="769"/>
      <c r="B889" s="656"/>
      <c r="C889" s="404"/>
      <c r="D889" s="641"/>
      <c r="E889" s="405"/>
      <c r="F889" s="664">
        <f t="shared" ref="F889:U889" si="370">F881-SUM(F882:F888)</f>
        <v>0</v>
      </c>
      <c r="G889" s="664">
        <f t="shared" si="370"/>
        <v>0</v>
      </c>
      <c r="H889" s="664">
        <f t="shared" si="370"/>
        <v>0</v>
      </c>
      <c r="I889" s="664">
        <f t="shared" si="370"/>
        <v>0</v>
      </c>
      <c r="J889" s="664">
        <f t="shared" si="370"/>
        <v>0</v>
      </c>
      <c r="K889" s="664">
        <f t="shared" si="370"/>
        <v>0</v>
      </c>
      <c r="L889" s="664">
        <f t="shared" si="370"/>
        <v>0</v>
      </c>
      <c r="M889" s="664">
        <f t="shared" si="370"/>
        <v>0</v>
      </c>
      <c r="N889" s="664">
        <f t="shared" si="370"/>
        <v>0</v>
      </c>
      <c r="O889" s="664">
        <f t="shared" si="370"/>
        <v>0</v>
      </c>
      <c r="P889" s="664"/>
      <c r="Q889" s="664">
        <f t="shared" si="370"/>
        <v>0</v>
      </c>
      <c r="R889" s="664">
        <f t="shared" si="370"/>
        <v>0</v>
      </c>
      <c r="S889" s="664">
        <f t="shared" si="370"/>
        <v>0</v>
      </c>
      <c r="T889" s="664">
        <f t="shared" si="370"/>
        <v>0</v>
      </c>
      <c r="U889" s="664">
        <f t="shared" si="370"/>
        <v>0</v>
      </c>
    </row>
    <row r="890" spans="1:21" s="59" customFormat="1" ht="15.75">
      <c r="A890" s="769"/>
      <c r="B890" s="656"/>
      <c r="C890" s="404"/>
      <c r="D890" s="641"/>
      <c r="E890" s="405"/>
      <c r="F890" s="690"/>
      <c r="G890" s="679"/>
      <c r="H890" s="679"/>
      <c r="I890" s="679"/>
      <c r="J890" s="679"/>
      <c r="K890" s="679"/>
      <c r="L890" s="679"/>
      <c r="M890" s="679"/>
      <c r="N890" s="679"/>
      <c r="O890" s="679"/>
      <c r="P890" s="679"/>
      <c r="Q890" s="679"/>
      <c r="R890" s="679"/>
      <c r="S890" s="442"/>
      <c r="T890" s="442"/>
      <c r="U890" s="454"/>
    </row>
    <row r="891" spans="1:21" s="288" customFormat="1" ht="15.75">
      <c r="A891" s="417" t="s">
        <v>831</v>
      </c>
      <c r="B891" s="693" t="s">
        <v>283</v>
      </c>
      <c r="C891" s="289"/>
      <c r="D891" s="398"/>
      <c r="E891" s="399"/>
      <c r="F891" s="666">
        <f>TRUNC(0.05*F$583)</f>
        <v>130</v>
      </c>
      <c r="G891" s="666">
        <f>TRUNC(0.05*G$583)</f>
        <v>57</v>
      </c>
      <c r="H891" s="668">
        <f>TRUNC(0.01*H$583)</f>
        <v>11</v>
      </c>
      <c r="I891" s="668"/>
      <c r="J891" s="668"/>
      <c r="K891" s="668">
        <f>TRUNC(0.01*K$583)</f>
        <v>11</v>
      </c>
      <c r="L891" s="666"/>
      <c r="M891" s="666"/>
      <c r="N891" s="666"/>
      <c r="O891" s="666"/>
      <c r="P891" s="666"/>
      <c r="Q891" s="668">
        <f>TRUNC(0.01*Q$583)</f>
        <v>34</v>
      </c>
      <c r="R891" s="668">
        <f>TRUNC(0.01*R$583)</f>
        <v>34</v>
      </c>
      <c r="S891" s="669">
        <v>0</v>
      </c>
      <c r="T891" s="669">
        <v>0</v>
      </c>
      <c r="U891" s="669">
        <v>0</v>
      </c>
    </row>
    <row r="892" spans="1:21" s="420" customFormat="1" ht="15.75">
      <c r="A892" s="657" t="s">
        <v>832</v>
      </c>
      <c r="B892" s="658" t="s">
        <v>326</v>
      </c>
      <c r="C892" s="428"/>
      <c r="D892" s="430" t="s">
        <v>890</v>
      </c>
      <c r="E892" s="431"/>
      <c r="F892" s="691">
        <f>0.2*$F$891</f>
        <v>26</v>
      </c>
      <c r="G892" s="691">
        <f>0.2*$G$891</f>
        <v>11.4</v>
      </c>
      <c r="H892" s="691">
        <f>0.5*$H$891</f>
        <v>5.5</v>
      </c>
      <c r="I892" s="692"/>
      <c r="J892" s="692"/>
      <c r="K892" s="692"/>
      <c r="L892" s="692"/>
      <c r="M892" s="692"/>
      <c r="N892" s="692"/>
      <c r="O892" s="692"/>
      <c r="P892" s="692"/>
      <c r="Q892" s="692"/>
      <c r="R892" s="692"/>
      <c r="S892" s="692"/>
      <c r="T892" s="692"/>
      <c r="U892" s="692"/>
    </row>
    <row r="893" spans="1:21" s="420" customFormat="1" ht="15.75">
      <c r="A893" s="657" t="s">
        <v>833</v>
      </c>
      <c r="B893" s="658" t="s">
        <v>135</v>
      </c>
      <c r="C893" s="428"/>
      <c r="D893" s="430" t="s">
        <v>890</v>
      </c>
      <c r="E893" s="431"/>
      <c r="F893" s="691">
        <f>0.2*$F$891</f>
        <v>26</v>
      </c>
      <c r="G893" s="691">
        <f>0.2*$G$891</f>
        <v>11.4</v>
      </c>
      <c r="H893" s="691">
        <f>0.5*$H$891</f>
        <v>5.5</v>
      </c>
      <c r="I893" s="692"/>
      <c r="J893" s="692"/>
      <c r="K893" s="692"/>
      <c r="L893" s="692"/>
      <c r="M893" s="692"/>
      <c r="N893" s="692"/>
      <c r="O893" s="692"/>
      <c r="P893" s="692"/>
      <c r="Q893" s="692"/>
      <c r="R893" s="692"/>
      <c r="S893" s="692"/>
      <c r="T893" s="692"/>
      <c r="U893" s="692"/>
    </row>
    <row r="894" spans="1:21" s="420" customFormat="1" ht="15.75">
      <c r="A894" s="657" t="s">
        <v>834</v>
      </c>
      <c r="B894" s="658" t="s">
        <v>112</v>
      </c>
      <c r="C894" s="428"/>
      <c r="D894" s="430" t="s">
        <v>890</v>
      </c>
      <c r="E894" s="431"/>
      <c r="F894" s="691">
        <f>0.2*$F$891</f>
        <v>26</v>
      </c>
      <c r="G894" s="691">
        <f>0.2*$G$891</f>
        <v>11.4</v>
      </c>
      <c r="H894" s="691"/>
      <c r="I894" s="692"/>
      <c r="J894" s="692"/>
      <c r="K894" s="692"/>
      <c r="L894" s="692"/>
      <c r="M894" s="692"/>
      <c r="N894" s="692"/>
      <c r="O894" s="692"/>
      <c r="P894" s="692"/>
      <c r="Q894" s="692"/>
      <c r="R894" s="692"/>
      <c r="S894" s="692"/>
      <c r="T894" s="692"/>
      <c r="U894" s="692"/>
    </row>
    <row r="895" spans="1:21" s="420" customFormat="1" ht="15.75">
      <c r="A895" s="657" t="s">
        <v>835</v>
      </c>
      <c r="B895" s="658" t="s">
        <v>105</v>
      </c>
      <c r="C895" s="428"/>
      <c r="D895" s="430" t="s">
        <v>890</v>
      </c>
      <c r="E895" s="431"/>
      <c r="F895" s="691">
        <f>0.1*$F$891</f>
        <v>13</v>
      </c>
      <c r="G895" s="691">
        <f>0.2*$G$891</f>
        <v>11.4</v>
      </c>
      <c r="H895" s="691"/>
      <c r="I895" s="692"/>
      <c r="J895" s="692"/>
      <c r="K895" s="692">
        <f>0.5*$K$891</f>
        <v>5.5</v>
      </c>
      <c r="L895" s="692"/>
      <c r="M895" s="692"/>
      <c r="N895" s="692"/>
      <c r="O895" s="692"/>
      <c r="P895" s="692"/>
      <c r="Q895" s="692">
        <f>0.25*$Q$891</f>
        <v>8.5</v>
      </c>
      <c r="R895" s="692">
        <f>0.25*$R$891</f>
        <v>8.5</v>
      </c>
      <c r="S895" s="692"/>
      <c r="T895" s="692"/>
      <c r="U895" s="692"/>
    </row>
    <row r="896" spans="1:21" s="420" customFormat="1" ht="15.75">
      <c r="A896" s="657" t="s">
        <v>836</v>
      </c>
      <c r="B896" s="658" t="s">
        <v>595</v>
      </c>
      <c r="C896" s="428"/>
      <c r="D896" s="430" t="s">
        <v>890</v>
      </c>
      <c r="E896" s="431"/>
      <c r="F896" s="691">
        <f>0.2*$F$891</f>
        <v>26</v>
      </c>
      <c r="G896" s="691">
        <f>0.1*$G$891</f>
        <v>5.7</v>
      </c>
      <c r="H896" s="691"/>
      <c r="I896" s="692"/>
      <c r="J896" s="692"/>
      <c r="K896" s="692">
        <f>0.5*$K$891</f>
        <v>5.5</v>
      </c>
      <c r="L896" s="692"/>
      <c r="M896" s="692"/>
      <c r="N896" s="692"/>
      <c r="O896" s="692"/>
      <c r="P896" s="692"/>
      <c r="Q896" s="692">
        <f>0.25*$Q$891</f>
        <v>8.5</v>
      </c>
      <c r="R896" s="692">
        <f>0.25*$R$891</f>
        <v>8.5</v>
      </c>
      <c r="S896" s="692"/>
      <c r="T896" s="692"/>
      <c r="U896" s="692"/>
    </row>
    <row r="897" spans="1:21" s="420" customFormat="1" ht="15.75">
      <c r="A897" s="657" t="s">
        <v>837</v>
      </c>
      <c r="B897" s="658" t="s">
        <v>597</v>
      </c>
      <c r="C897" s="434"/>
      <c r="D897" s="430" t="s">
        <v>890</v>
      </c>
      <c r="E897" s="435"/>
      <c r="F897" s="691"/>
      <c r="G897" s="691"/>
      <c r="H897" s="691"/>
      <c r="I897" s="692"/>
      <c r="J897" s="692"/>
      <c r="K897" s="692"/>
      <c r="L897" s="692"/>
      <c r="M897" s="692"/>
      <c r="N897" s="692"/>
      <c r="O897" s="692"/>
      <c r="P897" s="692"/>
      <c r="Q897" s="692">
        <f>0.25*$Q$891</f>
        <v>8.5</v>
      </c>
      <c r="R897" s="692">
        <f>0.25*$R$891</f>
        <v>8.5</v>
      </c>
      <c r="S897" s="692"/>
      <c r="T897" s="692"/>
      <c r="U897" s="692"/>
    </row>
    <row r="898" spans="1:21" s="59" customFormat="1" ht="15.75">
      <c r="A898" s="657" t="s">
        <v>838</v>
      </c>
      <c r="B898" s="656" t="s">
        <v>150</v>
      </c>
      <c r="C898" s="396"/>
      <c r="D898" s="641" t="s">
        <v>890</v>
      </c>
      <c r="E898" s="397"/>
      <c r="F898" s="691">
        <f>0.1*$F$891</f>
        <v>13</v>
      </c>
      <c r="G898" s="691">
        <f>0.1*$G$891</f>
        <v>5.7</v>
      </c>
      <c r="H898" s="691"/>
      <c r="I898" s="692"/>
      <c r="J898" s="692"/>
      <c r="K898" s="692"/>
      <c r="L898" s="692"/>
      <c r="M898" s="692"/>
      <c r="N898" s="692"/>
      <c r="O898" s="692"/>
      <c r="P898" s="692"/>
      <c r="Q898" s="692">
        <f>0.25*$Q$891</f>
        <v>8.5</v>
      </c>
      <c r="R898" s="692">
        <f>0.25*$R$891</f>
        <v>8.5</v>
      </c>
      <c r="S898" s="692"/>
      <c r="T898" s="692"/>
      <c r="U898" s="692"/>
    </row>
    <row r="899" spans="1:21" s="98" customFormat="1" ht="15.75">
      <c r="A899" s="90"/>
      <c r="B899" s="590"/>
      <c r="C899" s="404"/>
      <c r="D899" s="91"/>
      <c r="E899" s="241"/>
      <c r="F899" s="672">
        <f t="shared" ref="F899:U899" si="371">F891-SUM(F892:F898)</f>
        <v>0</v>
      </c>
      <c r="G899" s="672">
        <f t="shared" si="371"/>
        <v>0</v>
      </c>
      <c r="H899" s="672">
        <f t="shared" si="371"/>
        <v>0</v>
      </c>
      <c r="I899" s="672">
        <f t="shared" si="371"/>
        <v>0</v>
      </c>
      <c r="J899" s="672">
        <f t="shared" si="371"/>
        <v>0</v>
      </c>
      <c r="K899" s="672">
        <f t="shared" si="371"/>
        <v>0</v>
      </c>
      <c r="L899" s="672">
        <f t="shared" si="371"/>
        <v>0</v>
      </c>
      <c r="M899" s="672">
        <f t="shared" si="371"/>
        <v>0</v>
      </c>
      <c r="N899" s="672">
        <f t="shared" si="371"/>
        <v>0</v>
      </c>
      <c r="O899" s="672">
        <f t="shared" si="371"/>
        <v>0</v>
      </c>
      <c r="P899" s="672">
        <f t="shared" si="371"/>
        <v>0</v>
      </c>
      <c r="Q899" s="672">
        <f t="shared" si="371"/>
        <v>0</v>
      </c>
      <c r="R899" s="672">
        <f t="shared" si="371"/>
        <v>0</v>
      </c>
      <c r="S899" s="672">
        <f t="shared" si="371"/>
        <v>0</v>
      </c>
      <c r="T899" s="672">
        <f t="shared" si="371"/>
        <v>0</v>
      </c>
      <c r="U899" s="672">
        <f t="shared" si="371"/>
        <v>0</v>
      </c>
    </row>
    <row r="900" spans="1:21" s="59" customFormat="1" ht="15.75">
      <c r="A900" s="769"/>
      <c r="B900" s="656"/>
      <c r="C900" s="768"/>
      <c r="D900" s="641"/>
      <c r="E900" s="405"/>
      <c r="F900" s="438"/>
      <c r="G900" s="676"/>
      <c r="H900" s="676"/>
      <c r="I900" s="676"/>
      <c r="J900" s="676"/>
      <c r="K900" s="676"/>
      <c r="L900" s="676"/>
      <c r="M900" s="461"/>
      <c r="N900" s="279"/>
      <c r="O900" s="279"/>
      <c r="P900" s="279"/>
      <c r="Q900" s="279"/>
      <c r="R900" s="279"/>
      <c r="S900" s="462"/>
      <c r="T900" s="462"/>
      <c r="U900" s="454"/>
    </row>
    <row r="901" spans="1:21" s="288" customFormat="1" ht="15.75">
      <c r="A901" s="391" t="s">
        <v>839</v>
      </c>
      <c r="B901" s="693" t="s">
        <v>287</v>
      </c>
      <c r="C901" s="290"/>
      <c r="D901" s="398"/>
      <c r="E901" s="291"/>
      <c r="F901" s="666">
        <f>TRUNC(0.05*F$583)</f>
        <v>130</v>
      </c>
      <c r="G901" s="666">
        <f>TRUNC(0.05*G$583)</f>
        <v>57</v>
      </c>
      <c r="H901" s="668">
        <f>TRUNC(0.011*H$583)</f>
        <v>12</v>
      </c>
      <c r="I901" s="668"/>
      <c r="J901" s="668"/>
      <c r="K901" s="668">
        <f>TRUNC(0.01*K$583)</f>
        <v>11</v>
      </c>
      <c r="L901" s="666"/>
      <c r="M901" s="666"/>
      <c r="N901" s="666"/>
      <c r="O901" s="666"/>
      <c r="P901" s="666">
        <f>TRUNC(0.183*P$583)</f>
        <v>56</v>
      </c>
      <c r="Q901" s="668">
        <f>TRUNC(0.0225*Q$583)</f>
        <v>77</v>
      </c>
      <c r="R901" s="668">
        <f>TRUNC(0.029*R$583)</f>
        <v>100</v>
      </c>
      <c r="S901" s="400">
        <v>0</v>
      </c>
      <c r="T901" s="400">
        <v>0</v>
      </c>
      <c r="U901" s="400">
        <v>0</v>
      </c>
    </row>
    <row r="902" spans="1:21" s="420" customFormat="1" ht="15.75">
      <c r="A902" s="433" t="s">
        <v>840</v>
      </c>
      <c r="B902" s="658" t="s">
        <v>326</v>
      </c>
      <c r="C902" s="434"/>
      <c r="D902" s="430" t="s">
        <v>890</v>
      </c>
      <c r="E902" s="435"/>
      <c r="F902" s="691">
        <f>0.2*$F$901</f>
        <v>26</v>
      </c>
      <c r="G902" s="691">
        <f>0.2*$G$901</f>
        <v>11.4</v>
      </c>
      <c r="H902" s="691">
        <f>0.5*$H$901</f>
        <v>6</v>
      </c>
      <c r="I902" s="691"/>
      <c r="J902" s="691"/>
      <c r="K902" s="691"/>
      <c r="L902" s="691"/>
      <c r="M902" s="691"/>
      <c r="N902" s="691"/>
      <c r="O902" s="691"/>
      <c r="P902" s="691">
        <f>0.2*$P$901</f>
        <v>11.200000000000001</v>
      </c>
      <c r="Q902" s="691"/>
      <c r="R902" s="691"/>
      <c r="S902" s="691"/>
      <c r="T902" s="691"/>
      <c r="U902" s="691"/>
    </row>
    <row r="903" spans="1:21" s="420" customFormat="1" ht="15.75">
      <c r="A903" s="433" t="s">
        <v>841</v>
      </c>
      <c r="B903" s="658" t="s">
        <v>135</v>
      </c>
      <c r="C903" s="434"/>
      <c r="D903" s="430" t="s">
        <v>890</v>
      </c>
      <c r="E903" s="435"/>
      <c r="F903" s="691">
        <f>0.2*$F$901</f>
        <v>26</v>
      </c>
      <c r="G903" s="691">
        <f>0.2*$G$901</f>
        <v>11.4</v>
      </c>
      <c r="H903" s="691">
        <f>0.5*$H$901</f>
        <v>6</v>
      </c>
      <c r="I903" s="691"/>
      <c r="J903" s="691"/>
      <c r="K903" s="691"/>
      <c r="L903" s="691"/>
      <c r="M903" s="691"/>
      <c r="N903" s="691"/>
      <c r="O903" s="691"/>
      <c r="P903" s="691">
        <f>0.2*$P$901</f>
        <v>11.200000000000001</v>
      </c>
      <c r="Q903" s="691"/>
      <c r="R903" s="691"/>
      <c r="S903" s="691"/>
      <c r="T903" s="691"/>
      <c r="U903" s="691"/>
    </row>
    <row r="904" spans="1:21" s="420" customFormat="1" ht="15.75">
      <c r="A904" s="433" t="s">
        <v>842</v>
      </c>
      <c r="B904" s="658" t="s">
        <v>112</v>
      </c>
      <c r="C904" s="434"/>
      <c r="D904" s="430" t="s">
        <v>890</v>
      </c>
      <c r="E904" s="435"/>
      <c r="F904" s="691">
        <f>0.2*$F$901</f>
        <v>26</v>
      </c>
      <c r="G904" s="691">
        <f>0.2*$G$901</f>
        <v>11.4</v>
      </c>
      <c r="H904" s="691"/>
      <c r="I904" s="691"/>
      <c r="J904" s="691"/>
      <c r="K904" s="691"/>
      <c r="L904" s="691"/>
      <c r="M904" s="691"/>
      <c r="N904" s="691"/>
      <c r="O904" s="691"/>
      <c r="P904" s="691">
        <f>0.2*$P$901</f>
        <v>11.200000000000001</v>
      </c>
      <c r="Q904" s="691"/>
      <c r="R904" s="691"/>
      <c r="S904" s="691"/>
      <c r="T904" s="691"/>
      <c r="U904" s="691"/>
    </row>
    <row r="905" spans="1:21" s="420" customFormat="1" ht="15.75">
      <c r="A905" s="433" t="s">
        <v>843</v>
      </c>
      <c r="B905" s="658" t="s">
        <v>105</v>
      </c>
      <c r="C905" s="434"/>
      <c r="D905" s="430" t="s">
        <v>890</v>
      </c>
      <c r="E905" s="435"/>
      <c r="F905" s="691">
        <f>0.1*$F$901</f>
        <v>13</v>
      </c>
      <c r="G905" s="691">
        <f>0.2*$G$901</f>
        <v>11.4</v>
      </c>
      <c r="H905" s="691"/>
      <c r="I905" s="691"/>
      <c r="J905" s="691"/>
      <c r="K905" s="691">
        <f>0.5*$K$901</f>
        <v>5.5</v>
      </c>
      <c r="L905" s="691"/>
      <c r="M905" s="691"/>
      <c r="N905" s="691"/>
      <c r="O905" s="691"/>
      <c r="P905" s="691">
        <f>0.2*$P$901</f>
        <v>11.200000000000001</v>
      </c>
      <c r="Q905" s="691">
        <f>0.25*$Q$901</f>
        <v>19.25</v>
      </c>
      <c r="R905" s="691">
        <f>0.25*$R$901</f>
        <v>25</v>
      </c>
      <c r="S905" s="691"/>
      <c r="T905" s="691"/>
      <c r="U905" s="691"/>
    </row>
    <row r="906" spans="1:21" s="420" customFormat="1" ht="15.75">
      <c r="A906" s="433" t="s">
        <v>844</v>
      </c>
      <c r="B906" s="658" t="s">
        <v>595</v>
      </c>
      <c r="C906" s="434"/>
      <c r="D906" s="430" t="s">
        <v>890</v>
      </c>
      <c r="E906" s="435"/>
      <c r="F906" s="691">
        <f>0.2*$F$901</f>
        <v>26</v>
      </c>
      <c r="G906" s="691">
        <f>0.1*$G$901</f>
        <v>5.7</v>
      </c>
      <c r="H906" s="691"/>
      <c r="I906" s="691"/>
      <c r="J906" s="691"/>
      <c r="K906" s="691">
        <f>0.5*$K$901</f>
        <v>5.5</v>
      </c>
      <c r="L906" s="691"/>
      <c r="M906" s="691"/>
      <c r="N906" s="691"/>
      <c r="O906" s="691"/>
      <c r="P906" s="691">
        <f>0.2*$P$901</f>
        <v>11.200000000000001</v>
      </c>
      <c r="Q906" s="691">
        <f>0.25*$Q$901</f>
        <v>19.25</v>
      </c>
      <c r="R906" s="691">
        <f>0.25*$R$901</f>
        <v>25</v>
      </c>
      <c r="S906" s="691"/>
      <c r="T906" s="691"/>
      <c r="U906" s="691"/>
    </row>
    <row r="907" spans="1:21" s="420" customFormat="1" ht="15.75">
      <c r="A907" s="433" t="s">
        <v>845</v>
      </c>
      <c r="B907" s="658" t="s">
        <v>597</v>
      </c>
      <c r="C907" s="434"/>
      <c r="D907" s="430" t="s">
        <v>890</v>
      </c>
      <c r="E907" s="435"/>
      <c r="F907" s="691"/>
      <c r="G907" s="691"/>
      <c r="H907" s="691"/>
      <c r="I907" s="691"/>
      <c r="J907" s="691"/>
      <c r="K907" s="691"/>
      <c r="L907" s="691"/>
      <c r="M907" s="691"/>
      <c r="N907" s="691"/>
      <c r="O907" s="691"/>
      <c r="P907" s="691"/>
      <c r="Q907" s="691">
        <f>0.25*$Q$901</f>
        <v>19.25</v>
      </c>
      <c r="R907" s="691">
        <f>0.25*$R$901</f>
        <v>25</v>
      </c>
      <c r="S907" s="691"/>
      <c r="T907" s="691"/>
      <c r="U907" s="691"/>
    </row>
    <row r="908" spans="1:21" s="420" customFormat="1" ht="15.75">
      <c r="A908" s="433" t="s">
        <v>846</v>
      </c>
      <c r="B908" s="658" t="s">
        <v>150</v>
      </c>
      <c r="C908" s="434"/>
      <c r="D908" s="430" t="s">
        <v>890</v>
      </c>
      <c r="E908" s="435"/>
      <c r="F908" s="691">
        <f>0.1*$F$901</f>
        <v>13</v>
      </c>
      <c r="G908" s="691">
        <f>0.1*$G$901</f>
        <v>5.7</v>
      </c>
      <c r="H908" s="691"/>
      <c r="I908" s="691"/>
      <c r="J908" s="691"/>
      <c r="K908" s="691"/>
      <c r="L908" s="691"/>
      <c r="M908" s="691"/>
      <c r="N908" s="691"/>
      <c r="O908" s="691"/>
      <c r="P908" s="691"/>
      <c r="Q908" s="691">
        <f>0.25*$Q$901</f>
        <v>19.25</v>
      </c>
      <c r="R908" s="691">
        <f>0.25*$R$901</f>
        <v>25</v>
      </c>
      <c r="S908" s="691"/>
      <c r="T908" s="691"/>
      <c r="U908" s="691"/>
    </row>
    <row r="909" spans="1:21" s="284" customFormat="1" ht="15.75">
      <c r="A909" s="426"/>
      <c r="B909" s="656"/>
      <c r="C909" s="396"/>
      <c r="D909" s="641"/>
      <c r="E909" s="397"/>
      <c r="F909" s="672">
        <f t="shared" ref="F909:U909" si="372">F901-SUM(F902:F908)</f>
        <v>0</v>
      </c>
      <c r="G909" s="672">
        <f t="shared" si="372"/>
        <v>0</v>
      </c>
      <c r="H909" s="672">
        <f t="shared" si="372"/>
        <v>0</v>
      </c>
      <c r="I909" s="672">
        <f t="shared" si="372"/>
        <v>0</v>
      </c>
      <c r="J909" s="672">
        <f t="shared" si="372"/>
        <v>0</v>
      </c>
      <c r="K909" s="672">
        <f t="shared" si="372"/>
        <v>0</v>
      </c>
      <c r="L909" s="672">
        <f t="shared" si="372"/>
        <v>0</v>
      </c>
      <c r="M909" s="672">
        <f t="shared" si="372"/>
        <v>0</v>
      </c>
      <c r="N909" s="672">
        <f t="shared" si="372"/>
        <v>0</v>
      </c>
      <c r="O909" s="672">
        <f t="shared" si="372"/>
        <v>0</v>
      </c>
      <c r="P909" s="672">
        <f t="shared" si="372"/>
        <v>0</v>
      </c>
      <c r="Q909" s="672">
        <f t="shared" si="372"/>
        <v>0</v>
      </c>
      <c r="R909" s="672">
        <f t="shared" si="372"/>
        <v>0</v>
      </c>
      <c r="S909" s="672">
        <f t="shared" si="372"/>
        <v>0</v>
      </c>
      <c r="T909" s="672">
        <f t="shared" si="372"/>
        <v>0</v>
      </c>
      <c r="U909" s="672">
        <f t="shared" si="372"/>
        <v>0</v>
      </c>
    </row>
    <row r="910" spans="1:21" s="59" customFormat="1" ht="15.75">
      <c r="A910" s="769"/>
      <c r="B910" s="656"/>
      <c r="C910" s="404"/>
      <c r="D910" s="641"/>
      <c r="E910" s="405"/>
      <c r="F910" s="690"/>
      <c r="G910" s="679"/>
      <c r="H910" s="679"/>
      <c r="I910" s="679"/>
      <c r="J910" s="679"/>
      <c r="K910" s="679"/>
      <c r="L910" s="679"/>
      <c r="M910" s="679"/>
      <c r="N910" s="679"/>
      <c r="O910" s="679"/>
      <c r="P910" s="679"/>
      <c r="Q910" s="679"/>
      <c r="R910" s="679"/>
      <c r="S910" s="442"/>
      <c r="T910" s="442"/>
      <c r="U910" s="454"/>
    </row>
    <row r="911" spans="1:21" s="288" customFormat="1" ht="15.75">
      <c r="A911" s="417" t="s">
        <v>847</v>
      </c>
      <c r="B911" s="693" t="s">
        <v>291</v>
      </c>
      <c r="C911" s="427"/>
      <c r="D911" s="398"/>
      <c r="E911" s="399"/>
      <c r="F911" s="666">
        <f>TRUNC(0.0031*F$583)</f>
        <v>8</v>
      </c>
      <c r="G911" s="666">
        <f>TRUNC(0.014*G$583)</f>
        <v>16</v>
      </c>
      <c r="H911" s="666">
        <f>TRUNC(0.05*H$583)</f>
        <v>57</v>
      </c>
      <c r="I911" s="666"/>
      <c r="J911" s="666">
        <f>TRUNC(0.019*J$583)</f>
        <v>21</v>
      </c>
      <c r="K911" s="666">
        <f>TRUNC(0.05*K$583)</f>
        <v>57</v>
      </c>
      <c r="L911" s="666"/>
      <c r="M911" s="666">
        <f>TRUNC(0.02*M$583)</f>
        <v>23</v>
      </c>
      <c r="N911" s="666"/>
      <c r="O911" s="666">
        <f>TRUNC(0.02*O$583)</f>
        <v>23</v>
      </c>
      <c r="P911" s="666">
        <f>TRUNC(0.025*P$583)</f>
        <v>7</v>
      </c>
      <c r="Q911" s="666"/>
      <c r="R911" s="666"/>
      <c r="S911" s="326">
        <v>0</v>
      </c>
      <c r="T911" s="326">
        <v>0</v>
      </c>
      <c r="U911" s="326">
        <v>0</v>
      </c>
    </row>
    <row r="912" spans="1:21" s="59" customFormat="1" ht="15.75">
      <c r="A912" s="769" t="s">
        <v>848</v>
      </c>
      <c r="B912" s="656" t="s">
        <v>293</v>
      </c>
      <c r="C912" s="404"/>
      <c r="D912" s="641" t="s">
        <v>890</v>
      </c>
      <c r="E912" s="405"/>
      <c r="F912" s="690">
        <f>F911</f>
        <v>8</v>
      </c>
      <c r="G912" s="690">
        <f t="shared" ref="G912:P912" si="373">G911</f>
        <v>16</v>
      </c>
      <c r="H912" s="690">
        <f t="shared" si="373"/>
        <v>57</v>
      </c>
      <c r="I912" s="690"/>
      <c r="J912" s="690">
        <f t="shared" si="373"/>
        <v>21</v>
      </c>
      <c r="K912" s="690">
        <f>K911</f>
        <v>57</v>
      </c>
      <c r="L912" s="690"/>
      <c r="M912" s="690">
        <f t="shared" si="373"/>
        <v>23</v>
      </c>
      <c r="N912" s="690"/>
      <c r="O912" s="690">
        <f t="shared" si="373"/>
        <v>23</v>
      </c>
      <c r="P912" s="690">
        <f t="shared" si="373"/>
        <v>7</v>
      </c>
      <c r="Q912" s="690"/>
      <c r="R912" s="690"/>
      <c r="S912" s="690">
        <f>S911</f>
        <v>0</v>
      </c>
      <c r="T912" s="690">
        <f>T911</f>
        <v>0</v>
      </c>
      <c r="U912" s="690">
        <f>U911</f>
        <v>0</v>
      </c>
    </row>
    <row r="913" spans="1:24" s="284" customFormat="1" ht="15.75">
      <c r="A913" s="769"/>
      <c r="B913" s="656"/>
      <c r="C913" s="404"/>
      <c r="D913" s="641"/>
      <c r="E913" s="405"/>
      <c r="F913" s="690"/>
      <c r="G913" s="679"/>
      <c r="H913" s="679"/>
      <c r="I913" s="679"/>
      <c r="J913" s="679"/>
      <c r="K913" s="679"/>
      <c r="L913" s="679"/>
      <c r="M913" s="679"/>
      <c r="N913" s="679"/>
      <c r="O913" s="679"/>
      <c r="P913" s="679"/>
      <c r="Q913" s="679"/>
      <c r="R913" s="679"/>
      <c r="S913" s="442"/>
      <c r="T913" s="442"/>
      <c r="U913" s="454"/>
      <c r="V913" s="766"/>
      <c r="W913" s="766"/>
      <c r="X913" s="766"/>
    </row>
    <row r="914" spans="1:24" s="59" customFormat="1" ht="15.75">
      <c r="A914" s="769"/>
      <c r="B914" s="656"/>
      <c r="C914" s="404"/>
      <c r="D914" s="641"/>
      <c r="E914" s="405"/>
      <c r="F914" s="690"/>
      <c r="G914" s="679"/>
      <c r="H914" s="679"/>
      <c r="I914" s="679"/>
      <c r="J914" s="679"/>
      <c r="K914" s="679"/>
      <c r="L914" s="679"/>
      <c r="M914" s="679"/>
      <c r="N914" s="679"/>
      <c r="O914" s="679"/>
      <c r="P914" s="679"/>
      <c r="Q914" s="679"/>
      <c r="R914" s="679"/>
      <c r="S914" s="442"/>
      <c r="T914" s="442"/>
      <c r="U914" s="454"/>
      <c r="V914" s="766"/>
      <c r="W914" s="766"/>
      <c r="X914" s="766"/>
    </row>
    <row r="915" spans="1:24" s="288" customFormat="1" ht="16.5" customHeight="1">
      <c r="A915" s="307"/>
      <c r="B915" s="602" t="s">
        <v>907</v>
      </c>
      <c r="C915" s="427"/>
      <c r="D915" s="398" t="s">
        <v>902</v>
      </c>
      <c r="E915" s="399"/>
      <c r="F915" s="669">
        <f>F12*0.35</f>
        <v>2618</v>
      </c>
      <c r="G915" s="669">
        <f t="shared" ref="G915:R915" si="374">G12*0.35</f>
        <v>1155</v>
      </c>
      <c r="H915" s="669">
        <f t="shared" si="374"/>
        <v>1155</v>
      </c>
      <c r="I915" s="669">
        <f t="shared" si="374"/>
        <v>2310</v>
      </c>
      <c r="J915" s="669">
        <f t="shared" si="374"/>
        <v>1155</v>
      </c>
      <c r="K915" s="669">
        <f t="shared" si="374"/>
        <v>1155</v>
      </c>
      <c r="L915" s="669">
        <f t="shared" si="374"/>
        <v>2310</v>
      </c>
      <c r="M915" s="669">
        <f t="shared" si="374"/>
        <v>1155</v>
      </c>
      <c r="N915" s="669">
        <f t="shared" si="374"/>
        <v>1155</v>
      </c>
      <c r="O915" s="669">
        <f t="shared" si="374"/>
        <v>1155</v>
      </c>
      <c r="P915" s="669">
        <f t="shared" si="374"/>
        <v>308</v>
      </c>
      <c r="Q915" s="669">
        <f t="shared" si="374"/>
        <v>3465</v>
      </c>
      <c r="R915" s="669">
        <f t="shared" si="374"/>
        <v>3465</v>
      </c>
      <c r="S915" s="400"/>
      <c r="T915" s="400"/>
      <c r="U915" s="328"/>
      <c r="V915" s="401"/>
      <c r="W915" s="308"/>
      <c r="X915" s="308"/>
    </row>
    <row r="916" spans="1:24" s="284" customFormat="1" ht="16.5" customHeight="1">
      <c r="A916" s="769"/>
      <c r="B916" s="656"/>
      <c r="C916" s="404"/>
      <c r="D916" s="641"/>
      <c r="E916" s="405"/>
      <c r="F916" s="690"/>
      <c r="G916" s="679"/>
      <c r="H916" s="679"/>
      <c r="I916" s="679"/>
      <c r="J916" s="679"/>
      <c r="K916" s="679"/>
      <c r="L916" s="679"/>
      <c r="M916" s="679"/>
      <c r="N916" s="679"/>
      <c r="O916" s="679"/>
      <c r="P916" s="679"/>
      <c r="Q916" s="679"/>
      <c r="R916" s="679"/>
      <c r="S916" s="442"/>
      <c r="T916" s="442"/>
      <c r="U916" s="454"/>
      <c r="V916" s="766"/>
      <c r="W916" s="406"/>
      <c r="X916" s="406"/>
    </row>
    <row r="917" spans="1:24" s="296" customFormat="1" ht="16.5" customHeight="1">
      <c r="A917" s="293"/>
      <c r="B917" s="601"/>
      <c r="C917" s="321"/>
      <c r="D917" s="294" t="s">
        <v>902</v>
      </c>
      <c r="E917" s="295"/>
      <c r="F917" s="667">
        <f>F911+F901+F891+F881+F871+F860+F849+F838+F827+F816+F805+F794+F783+F772+F761+F751+F741+F731+F721+F711+F701+F690+F680+F668+F656+F645+F636+F627+F618+F608+F598+F585</f>
        <v>2618</v>
      </c>
      <c r="G917" s="667">
        <f t="shared" ref="G917:U917" si="375">G911+G901+G891+G881+G871+G860+G849+G838+G827+G816+G805+G794+G783+G772+G761+G751+G741+G731+G721+G711+G701+G690+G680+G668+G656+G645+G636+G627+G618+G608+G598+G585</f>
        <v>1155</v>
      </c>
      <c r="H917" s="667">
        <f t="shared" si="375"/>
        <v>1155</v>
      </c>
      <c r="I917" s="667">
        <f>I911+I901+I891+I881+I871+I860+I849+I838+I827+I816+I805+I794+I783+I772+I761+I751+I741+I731+I721+I711+I701+I690+I680+I668+I656+I645+I636+I627+I618+I608+I598+I585</f>
        <v>2310</v>
      </c>
      <c r="J917" s="667">
        <f t="shared" si="375"/>
        <v>1155</v>
      </c>
      <c r="K917" s="667">
        <f t="shared" si="375"/>
        <v>1155</v>
      </c>
      <c r="L917" s="667">
        <f t="shared" si="375"/>
        <v>2310</v>
      </c>
      <c r="M917" s="667">
        <f t="shared" si="375"/>
        <v>1155</v>
      </c>
      <c r="N917" s="667">
        <f>TRUNC(N911+N901+N891+N881+N871+N860+N849+N838+N827+N816+N805+N794+N783+N772+N761+N751+N741+N731+N721+N711+N701+N690+N680+N668+N656+N645+N636+N627+N618+N608+N598+N585)</f>
        <v>1155</v>
      </c>
      <c r="O917" s="667">
        <f t="shared" si="375"/>
        <v>1155</v>
      </c>
      <c r="P917" s="667">
        <f t="shared" si="375"/>
        <v>308</v>
      </c>
      <c r="Q917" s="667">
        <f t="shared" si="375"/>
        <v>3465</v>
      </c>
      <c r="R917" s="667">
        <f t="shared" si="375"/>
        <v>3465</v>
      </c>
      <c r="S917" s="667">
        <f t="shared" si="375"/>
        <v>0</v>
      </c>
      <c r="T917" s="667">
        <f t="shared" si="375"/>
        <v>0</v>
      </c>
      <c r="U917" s="667">
        <f t="shared" si="375"/>
        <v>0</v>
      </c>
      <c r="W917" s="297"/>
      <c r="X917" s="297"/>
    </row>
    <row r="918" spans="1:24" s="284" customFormat="1" ht="16.5" customHeight="1">
      <c r="A918" s="769"/>
      <c r="B918" s="656"/>
      <c r="C918" s="404"/>
      <c r="D918" s="641"/>
      <c r="E918" s="405"/>
      <c r="F918" s="690"/>
      <c r="G918" s="679"/>
      <c r="H918" s="679"/>
      <c r="I918" s="679"/>
      <c r="J918" s="679"/>
      <c r="K918" s="679"/>
      <c r="L918" s="679"/>
      <c r="M918" s="679"/>
      <c r="N918" s="679"/>
      <c r="O918" s="679"/>
      <c r="P918" s="679"/>
      <c r="Q918" s="679"/>
      <c r="R918" s="679"/>
      <c r="S918" s="442"/>
      <c r="T918" s="442"/>
      <c r="U918" s="454"/>
      <c r="V918" s="766"/>
      <c r="W918" s="406"/>
      <c r="X918" s="406"/>
    </row>
    <row r="919" spans="1:24" s="314" customFormat="1" ht="16.5" customHeight="1">
      <c r="A919" s="334"/>
      <c r="B919" s="597"/>
      <c r="C919" s="333"/>
      <c r="D919" s="335"/>
      <c r="E919" s="336"/>
      <c r="F919" s="653">
        <f>F915-F917</f>
        <v>0</v>
      </c>
      <c r="G919" s="653">
        <f t="shared" ref="G919:U919" si="376">G915-G917</f>
        <v>0</v>
      </c>
      <c r="H919" s="653">
        <f t="shared" si="376"/>
        <v>0</v>
      </c>
      <c r="I919" s="653">
        <f t="shared" si="376"/>
        <v>0</v>
      </c>
      <c r="J919" s="653">
        <f t="shared" si="376"/>
        <v>0</v>
      </c>
      <c r="K919" s="653">
        <f t="shared" si="376"/>
        <v>0</v>
      </c>
      <c r="L919" s="653">
        <f t="shared" si="376"/>
        <v>0</v>
      </c>
      <c r="M919" s="653">
        <f t="shared" si="376"/>
        <v>0</v>
      </c>
      <c r="N919" s="653">
        <f>TRUNC(N915-N917)</f>
        <v>0</v>
      </c>
      <c r="O919" s="653">
        <f t="shared" si="376"/>
        <v>0</v>
      </c>
      <c r="P919" s="653">
        <f t="shared" si="376"/>
        <v>0</v>
      </c>
      <c r="Q919" s="653">
        <f t="shared" si="376"/>
        <v>0</v>
      </c>
      <c r="R919" s="653">
        <f t="shared" si="376"/>
        <v>0</v>
      </c>
      <c r="S919" s="653">
        <f t="shared" si="376"/>
        <v>0</v>
      </c>
      <c r="T919" s="653">
        <f t="shared" si="376"/>
        <v>0</v>
      </c>
      <c r="U919" s="653">
        <f t="shared" si="376"/>
        <v>0</v>
      </c>
      <c r="V919" s="337"/>
      <c r="W919" s="338"/>
      <c r="X919" s="338"/>
    </row>
    <row r="920" spans="1:24" s="284" customFormat="1" ht="16.5" customHeight="1">
      <c r="A920" s="769"/>
      <c r="B920" s="656"/>
      <c r="C920" s="404"/>
      <c r="D920" s="641"/>
      <c r="E920" s="405"/>
      <c r="F920" s="690"/>
      <c r="G920" s="679"/>
      <c r="H920" s="679"/>
      <c r="I920" s="679"/>
      <c r="J920" s="679"/>
      <c r="K920" s="679"/>
      <c r="L920" s="679"/>
      <c r="M920" s="679"/>
      <c r="N920" s="679"/>
      <c r="O920" s="679"/>
      <c r="P920" s="679"/>
      <c r="Q920" s="679"/>
      <c r="R920" s="679"/>
      <c r="S920" s="442"/>
      <c r="T920" s="442"/>
      <c r="U920" s="454"/>
      <c r="V920" s="766"/>
      <c r="W920" s="406"/>
      <c r="X920" s="406"/>
    </row>
    <row r="921" spans="1:24" s="59" customFormat="1" ht="15.75">
      <c r="A921" s="769"/>
      <c r="B921" s="656"/>
      <c r="C921" s="404"/>
      <c r="D921" s="641"/>
      <c r="E921" s="405"/>
      <c r="F921" s="690"/>
      <c r="G921" s="679"/>
      <c r="H921" s="679"/>
      <c r="I921" s="679"/>
      <c r="J921" s="679"/>
      <c r="K921" s="679"/>
      <c r="L921" s="679"/>
      <c r="M921" s="679"/>
      <c r="N921" s="679"/>
      <c r="O921" s="679"/>
      <c r="P921" s="679"/>
      <c r="Q921" s="679"/>
      <c r="R921" s="679"/>
      <c r="S921" s="442"/>
      <c r="T921" s="442"/>
      <c r="U921" s="454"/>
      <c r="V921" s="766"/>
      <c r="W921" s="766"/>
      <c r="X921" s="766"/>
    </row>
    <row r="922" spans="1:24" s="322" customFormat="1" ht="15.75">
      <c r="A922" s="413" t="s">
        <v>850</v>
      </c>
      <c r="B922" s="619" t="s">
        <v>13</v>
      </c>
      <c r="C922" s="836">
        <v>6.5000000000000002E-2</v>
      </c>
      <c r="D922" s="317"/>
      <c r="E922" s="415"/>
      <c r="F922" s="665">
        <f>0.065*F12</f>
        <v>486.2</v>
      </c>
      <c r="G922" s="665">
        <f t="shared" ref="G922:R922" si="377">0.065*G12</f>
        <v>214.5</v>
      </c>
      <c r="H922" s="665">
        <f t="shared" si="377"/>
        <v>214.5</v>
      </c>
      <c r="I922" s="665">
        <f t="shared" si="377"/>
        <v>429</v>
      </c>
      <c r="J922" s="665">
        <f t="shared" si="377"/>
        <v>214.5</v>
      </c>
      <c r="K922" s="665">
        <f t="shared" si="377"/>
        <v>214.5</v>
      </c>
      <c r="L922" s="665">
        <f t="shared" si="377"/>
        <v>429</v>
      </c>
      <c r="M922" s="665">
        <f t="shared" si="377"/>
        <v>214.5</v>
      </c>
      <c r="N922" s="665">
        <f t="shared" si="377"/>
        <v>214.5</v>
      </c>
      <c r="O922" s="665">
        <f t="shared" si="377"/>
        <v>214.5</v>
      </c>
      <c r="P922" s="665">
        <f t="shared" si="377"/>
        <v>57.2</v>
      </c>
      <c r="Q922" s="665">
        <f t="shared" si="377"/>
        <v>643.5</v>
      </c>
      <c r="R922" s="665">
        <f t="shared" si="377"/>
        <v>643.5</v>
      </c>
      <c r="S922" s="379">
        <v>0</v>
      </c>
      <c r="T922" s="379">
        <v>0</v>
      </c>
      <c r="U922" s="380">
        <v>0</v>
      </c>
      <c r="V922" s="378"/>
      <c r="W922" s="378"/>
      <c r="X922" s="378"/>
    </row>
    <row r="923" spans="1:24" s="59" customFormat="1" ht="15.75">
      <c r="A923" s="769" t="s">
        <v>851</v>
      </c>
      <c r="B923" s="635" t="s">
        <v>852</v>
      </c>
      <c r="C923" s="404"/>
      <c r="D923" s="641" t="s">
        <v>890</v>
      </c>
      <c r="E923" s="405"/>
      <c r="F923" s="690">
        <f>0.1*$F$922</f>
        <v>48.620000000000005</v>
      </c>
      <c r="G923" s="679">
        <f>0.1*$G$922</f>
        <v>21.450000000000003</v>
      </c>
      <c r="H923" s="679">
        <f>0.1*$H$922</f>
        <v>21.450000000000003</v>
      </c>
      <c r="I923" s="679">
        <f>0.1*$I$922</f>
        <v>42.900000000000006</v>
      </c>
      <c r="J923" s="679">
        <f>0.1*$J$922</f>
        <v>21.450000000000003</v>
      </c>
      <c r="K923" s="679">
        <f>0.1*$K$922</f>
        <v>21.450000000000003</v>
      </c>
      <c r="L923" s="679">
        <f>0.1*$L$922</f>
        <v>42.900000000000006</v>
      </c>
      <c r="M923" s="679">
        <f>0.1*$M$922</f>
        <v>21.450000000000003</v>
      </c>
      <c r="N923" s="679">
        <f>0.1*$N$922</f>
        <v>21.450000000000003</v>
      </c>
      <c r="O923" s="679">
        <f>0.1*$O$922</f>
        <v>21.450000000000003</v>
      </c>
      <c r="P923" s="679">
        <f>0.15*$P$922</f>
        <v>8.58</v>
      </c>
      <c r="Q923" s="679">
        <f>0.1*$Q$922</f>
        <v>64.350000000000009</v>
      </c>
      <c r="R923" s="690">
        <f>0.1*$R$922</f>
        <v>64.350000000000009</v>
      </c>
      <c r="S923" s="442"/>
      <c r="T923" s="442"/>
      <c r="U923" s="454"/>
      <c r="V923" s="766"/>
      <c r="W923" s="766"/>
      <c r="X923" s="766"/>
    </row>
    <row r="924" spans="1:24" s="59" customFormat="1" ht="15.75">
      <c r="A924" s="769" t="s">
        <v>853</v>
      </c>
      <c r="B924" s="635" t="s">
        <v>854</v>
      </c>
      <c r="C924" s="714"/>
      <c r="D924" s="641" t="s">
        <v>890</v>
      </c>
      <c r="E924" s="95"/>
      <c r="F924" s="690">
        <f>0.1*$F$922</f>
        <v>48.620000000000005</v>
      </c>
      <c r="G924" s="679">
        <f>0.1*$G$922</f>
        <v>21.450000000000003</v>
      </c>
      <c r="H924" s="679">
        <f>0.1*$H$922</f>
        <v>21.450000000000003</v>
      </c>
      <c r="I924" s="679">
        <f>0.11*$I$922</f>
        <v>47.19</v>
      </c>
      <c r="J924" s="679">
        <f>0.1*$J$922</f>
        <v>21.450000000000003</v>
      </c>
      <c r="K924" s="679">
        <f>0.1*$K$922</f>
        <v>21.450000000000003</v>
      </c>
      <c r="L924" s="679">
        <f>0.1*$L$922</f>
        <v>42.900000000000006</v>
      </c>
      <c r="M924" s="679">
        <f t="shared" ref="M924:M925" si="378">0.1*$M$922</f>
        <v>21.450000000000003</v>
      </c>
      <c r="N924" s="679">
        <f t="shared" ref="N924:N925" si="379">0.1*$N$922</f>
        <v>21.450000000000003</v>
      </c>
      <c r="O924" s="679">
        <f t="shared" ref="O924:O925" si="380">0.1*$O$922</f>
        <v>21.450000000000003</v>
      </c>
      <c r="P924" s="679">
        <f>0.15*$P$922</f>
        <v>8.58</v>
      </c>
      <c r="Q924" s="679">
        <f t="shared" ref="Q924:Q925" si="381">0.1*$Q$922</f>
        <v>64.350000000000009</v>
      </c>
      <c r="R924" s="690">
        <f t="shared" ref="R924:R925" si="382">0.1*$R$922</f>
        <v>64.350000000000009</v>
      </c>
      <c r="S924" s="450"/>
      <c r="T924" s="450"/>
      <c r="U924" s="454"/>
      <c r="V924" s="766"/>
      <c r="W924" s="766"/>
      <c r="X924" s="766"/>
    </row>
    <row r="925" spans="1:24" s="59" customFormat="1" ht="15.75">
      <c r="A925" s="769" t="s">
        <v>855</v>
      </c>
      <c r="B925" s="635" t="s">
        <v>856</v>
      </c>
      <c r="C925" s="714"/>
      <c r="D925" s="641" t="s">
        <v>890</v>
      </c>
      <c r="E925" s="95"/>
      <c r="F925" s="690">
        <f>0.2*$F$922</f>
        <v>97.240000000000009</v>
      </c>
      <c r="G925" s="679">
        <f>0.2*$G$922</f>
        <v>42.900000000000006</v>
      </c>
      <c r="H925" s="679">
        <f>0.2*$H$922</f>
        <v>42.900000000000006</v>
      </c>
      <c r="I925" s="679">
        <f>0.19*$I$922</f>
        <v>81.510000000000005</v>
      </c>
      <c r="J925" s="679">
        <f>0.2*$J$922</f>
        <v>42.900000000000006</v>
      </c>
      <c r="K925" s="679">
        <f>0.2*$K$922</f>
        <v>42.900000000000006</v>
      </c>
      <c r="L925" s="679">
        <f>0.1*$L$922</f>
        <v>42.900000000000006</v>
      </c>
      <c r="M925" s="679">
        <f t="shared" si="378"/>
        <v>21.450000000000003</v>
      </c>
      <c r="N925" s="679">
        <f t="shared" si="379"/>
        <v>21.450000000000003</v>
      </c>
      <c r="O925" s="679">
        <f t="shared" si="380"/>
        <v>21.450000000000003</v>
      </c>
      <c r="P925" s="679">
        <f>0.3*$P$922</f>
        <v>17.16</v>
      </c>
      <c r="Q925" s="679">
        <f t="shared" si="381"/>
        <v>64.350000000000009</v>
      </c>
      <c r="R925" s="690">
        <f t="shared" si="382"/>
        <v>64.350000000000009</v>
      </c>
      <c r="S925" s="450"/>
      <c r="T925" s="450"/>
      <c r="U925" s="454"/>
      <c r="V925" s="766"/>
      <c r="W925" s="766"/>
      <c r="X925" s="766"/>
    </row>
    <row r="926" spans="1:24" s="59" customFormat="1" ht="15.75">
      <c r="A926" s="769" t="s">
        <v>857</v>
      </c>
      <c r="B926" s="635" t="s">
        <v>858</v>
      </c>
      <c r="C926" s="404"/>
      <c r="D926" s="641" t="s">
        <v>890</v>
      </c>
      <c r="E926" s="405"/>
      <c r="F926" s="690">
        <f>0.2*$F$922</f>
        <v>97.240000000000009</v>
      </c>
      <c r="G926" s="679">
        <f>0.2*$G$922</f>
        <v>42.900000000000006</v>
      </c>
      <c r="H926" s="679">
        <f>0.3*$H$922</f>
        <v>64.349999999999994</v>
      </c>
      <c r="I926" s="679">
        <f>0.2*$I$922</f>
        <v>85.800000000000011</v>
      </c>
      <c r="J926" s="679">
        <f>0.2*$J$922</f>
        <v>42.900000000000006</v>
      </c>
      <c r="K926" s="679">
        <f>0.2*$K$922</f>
        <v>42.900000000000006</v>
      </c>
      <c r="L926" s="679">
        <f>0.25*$L$922</f>
        <v>107.25</v>
      </c>
      <c r="M926" s="679">
        <f>0.25*$M$922</f>
        <v>53.625</v>
      </c>
      <c r="N926" s="679">
        <f>0.15*$N$922</f>
        <v>32.174999999999997</v>
      </c>
      <c r="O926" s="679">
        <f>0.2*$O$922</f>
        <v>42.900000000000006</v>
      </c>
      <c r="P926" s="679">
        <f>0.2*$P$922</f>
        <v>11.440000000000001</v>
      </c>
      <c r="Q926" s="679">
        <f>0.3*$Q$922</f>
        <v>193.04999999999998</v>
      </c>
      <c r="R926" s="690">
        <f>0.3*$R$922</f>
        <v>193.04999999999998</v>
      </c>
      <c r="S926" s="442"/>
      <c r="T926" s="442"/>
      <c r="U926" s="454"/>
      <c r="V926" s="766"/>
      <c r="W926" s="766"/>
      <c r="X926" s="766"/>
    </row>
    <row r="927" spans="1:24" s="403" customFormat="1" ht="15.75">
      <c r="A927" s="769" t="s">
        <v>859</v>
      </c>
      <c r="B927" s="635" t="s">
        <v>860</v>
      </c>
      <c r="C927" s="404"/>
      <c r="D927" s="641" t="s">
        <v>890</v>
      </c>
      <c r="E927" s="405"/>
      <c r="F927" s="690">
        <f>0.2*$F$922</f>
        <v>97.240000000000009</v>
      </c>
      <c r="G927" s="679">
        <f>0.2*$G$922</f>
        <v>42.900000000000006</v>
      </c>
      <c r="H927" s="679">
        <f>0.1*$H$922</f>
        <v>21.450000000000003</v>
      </c>
      <c r="I927" s="679">
        <f>0.2*$I$922</f>
        <v>85.800000000000011</v>
      </c>
      <c r="J927" s="679">
        <f>0.2*$J$922</f>
        <v>42.900000000000006</v>
      </c>
      <c r="K927" s="679">
        <f>0.2*$K$922</f>
        <v>42.900000000000006</v>
      </c>
      <c r="L927" s="679">
        <f>0.2*$L$922</f>
        <v>85.800000000000011</v>
      </c>
      <c r="M927" s="679">
        <f t="shared" ref="M927" si="383">0.15*$M$922</f>
        <v>32.174999999999997</v>
      </c>
      <c r="N927" s="679">
        <f>0.25*$N$922</f>
        <v>53.625</v>
      </c>
      <c r="O927" s="679">
        <f>0.2*$O$922</f>
        <v>42.900000000000006</v>
      </c>
      <c r="P927" s="679">
        <f>0.1*$P$922</f>
        <v>5.7200000000000006</v>
      </c>
      <c r="Q927" s="679">
        <f>0.1*$Q$922</f>
        <v>64.350000000000009</v>
      </c>
      <c r="R927" s="690">
        <f>0.1*$R$922</f>
        <v>64.350000000000009</v>
      </c>
      <c r="S927" s="442"/>
      <c r="T927" s="442"/>
      <c r="U927" s="454"/>
      <c r="V927" s="766"/>
      <c r="W927" s="766"/>
      <c r="X927" s="766"/>
    </row>
    <row r="928" spans="1:24" s="403" customFormat="1" ht="15.75">
      <c r="A928" s="769" t="s">
        <v>861</v>
      </c>
      <c r="B928" s="635" t="s">
        <v>862</v>
      </c>
      <c r="C928" s="404"/>
      <c r="D928" s="641" t="s">
        <v>890</v>
      </c>
      <c r="E928" s="405"/>
      <c r="F928" s="690">
        <f>0.2*$F$922</f>
        <v>97.240000000000009</v>
      </c>
      <c r="G928" s="679">
        <f>0.2*$G$922</f>
        <v>42.900000000000006</v>
      </c>
      <c r="H928" s="679">
        <f>0.2*$H$922</f>
        <v>42.900000000000006</v>
      </c>
      <c r="I928" s="679">
        <f>0.2*$I$922</f>
        <v>85.800000000000011</v>
      </c>
      <c r="J928" s="679">
        <f>0.2*$J$922</f>
        <v>42.900000000000006</v>
      </c>
      <c r="K928" s="679">
        <f>0.2*$K$922</f>
        <v>42.900000000000006</v>
      </c>
      <c r="L928" s="679">
        <f>0.25*$L$922</f>
        <v>107.25</v>
      </c>
      <c r="M928" s="679">
        <f>0.3*$M$922</f>
        <v>64.349999999999994</v>
      </c>
      <c r="N928" s="679">
        <f>0.3*$N$922</f>
        <v>64.349999999999994</v>
      </c>
      <c r="O928" s="679">
        <f>0.3*$O$922</f>
        <v>64.349999999999994</v>
      </c>
      <c r="P928" s="679">
        <f>0.1*$P$922</f>
        <v>5.7200000000000006</v>
      </c>
      <c r="Q928" s="679">
        <f>0.3*$Q$922</f>
        <v>193.04999999999998</v>
      </c>
      <c r="R928" s="690">
        <f>0.3*$R$922</f>
        <v>193.04999999999998</v>
      </c>
      <c r="S928" s="442"/>
      <c r="T928" s="442"/>
      <c r="U928" s="454"/>
      <c r="V928" s="766"/>
      <c r="W928" s="766"/>
      <c r="X928" s="766"/>
    </row>
    <row r="929" spans="1:24" s="318" customFormat="1" ht="15.75">
      <c r="A929" s="769"/>
      <c r="B929" s="635"/>
      <c r="C929" s="404"/>
      <c r="D929" s="641"/>
      <c r="E929" s="405"/>
      <c r="F929" s="690"/>
      <c r="G929" s="679"/>
      <c r="H929" s="679"/>
      <c r="I929" s="679"/>
      <c r="J929" s="679"/>
      <c r="K929" s="679"/>
      <c r="L929" s="679"/>
      <c r="M929" s="679"/>
      <c r="N929" s="679"/>
      <c r="O929" s="679"/>
      <c r="P929" s="679"/>
      <c r="Q929" s="679"/>
      <c r="R929" s="679"/>
      <c r="S929" s="442"/>
      <c r="T929" s="442"/>
      <c r="U929" s="454"/>
      <c r="V929" s="766"/>
      <c r="W929" s="766"/>
      <c r="X929" s="766"/>
    </row>
    <row r="930" spans="1:24" s="288" customFormat="1" ht="16.5" customHeight="1">
      <c r="A930" s="307"/>
      <c r="B930" s="602" t="s">
        <v>908</v>
      </c>
      <c r="C930" s="427"/>
      <c r="D930" s="398" t="s">
        <v>902</v>
      </c>
      <c r="E930" s="399"/>
      <c r="F930" s="669">
        <f>F12*0.065</f>
        <v>486.2</v>
      </c>
      <c r="G930" s="669">
        <f t="shared" ref="G930:R930" si="384">G12*0.065</f>
        <v>214.5</v>
      </c>
      <c r="H930" s="669">
        <f t="shared" si="384"/>
        <v>214.5</v>
      </c>
      <c r="I930" s="669">
        <f t="shared" si="384"/>
        <v>429</v>
      </c>
      <c r="J930" s="669">
        <f t="shared" si="384"/>
        <v>214.5</v>
      </c>
      <c r="K930" s="669">
        <f t="shared" si="384"/>
        <v>214.5</v>
      </c>
      <c r="L930" s="669">
        <f t="shared" si="384"/>
        <v>429</v>
      </c>
      <c r="M930" s="669">
        <f t="shared" si="384"/>
        <v>214.5</v>
      </c>
      <c r="N930" s="669">
        <f t="shared" si="384"/>
        <v>214.5</v>
      </c>
      <c r="O930" s="669">
        <f t="shared" si="384"/>
        <v>214.5</v>
      </c>
      <c r="P930" s="669">
        <f t="shared" si="384"/>
        <v>57.2</v>
      </c>
      <c r="Q930" s="669">
        <f t="shared" si="384"/>
        <v>643.5</v>
      </c>
      <c r="R930" s="669">
        <f t="shared" si="384"/>
        <v>643.5</v>
      </c>
      <c r="S930" s="400">
        <v>0</v>
      </c>
      <c r="T930" s="400">
        <v>0</v>
      </c>
      <c r="U930" s="328">
        <v>0</v>
      </c>
      <c r="V930" s="401"/>
      <c r="W930" s="308"/>
      <c r="X930" s="308"/>
    </row>
    <row r="931" spans="1:24" s="318" customFormat="1" ht="16.5" customHeight="1">
      <c r="A931" s="769"/>
      <c r="B931" s="656"/>
      <c r="C931" s="404"/>
      <c r="D931" s="641"/>
      <c r="E931" s="405"/>
      <c r="F931" s="690"/>
      <c r="G931" s="679"/>
      <c r="H931" s="679"/>
      <c r="I931" s="679"/>
      <c r="J931" s="679"/>
      <c r="K931" s="679"/>
      <c r="L931" s="679"/>
      <c r="M931" s="679"/>
      <c r="N931" s="679"/>
      <c r="O931" s="679"/>
      <c r="P931" s="679"/>
      <c r="Q931" s="679"/>
      <c r="R931" s="679"/>
      <c r="S931" s="442"/>
      <c r="T931" s="442"/>
      <c r="U931" s="454"/>
      <c r="V931" s="766"/>
      <c r="W931" s="406"/>
      <c r="X931" s="406"/>
    </row>
    <row r="932" spans="1:24" s="296" customFormat="1" ht="16.5" customHeight="1">
      <c r="A932" s="293"/>
      <c r="B932" s="601"/>
      <c r="C932" s="321"/>
      <c r="D932" s="294" t="s">
        <v>902</v>
      </c>
      <c r="E932" s="295"/>
      <c r="F932" s="667">
        <f t="shared" ref="F932:U932" si="385">SUM(F923:F928)</f>
        <v>486.20000000000005</v>
      </c>
      <c r="G932" s="667">
        <f t="shared" si="385"/>
        <v>214.50000000000003</v>
      </c>
      <c r="H932" s="667">
        <f t="shared" si="385"/>
        <v>214.50000000000003</v>
      </c>
      <c r="I932" s="667">
        <f t="shared" si="385"/>
        <v>429.00000000000006</v>
      </c>
      <c r="J932" s="667">
        <f t="shared" si="385"/>
        <v>214.50000000000003</v>
      </c>
      <c r="K932" s="667">
        <f t="shared" si="385"/>
        <v>214.50000000000003</v>
      </c>
      <c r="L932" s="667">
        <f t="shared" si="385"/>
        <v>429</v>
      </c>
      <c r="M932" s="667">
        <f t="shared" si="385"/>
        <v>214.5</v>
      </c>
      <c r="N932" s="667">
        <f t="shared" si="385"/>
        <v>214.5</v>
      </c>
      <c r="O932" s="667">
        <f t="shared" si="385"/>
        <v>214.50000000000003</v>
      </c>
      <c r="P932" s="667">
        <f t="shared" si="385"/>
        <v>57.2</v>
      </c>
      <c r="Q932" s="667">
        <f t="shared" si="385"/>
        <v>643.5</v>
      </c>
      <c r="R932" s="667">
        <f t="shared" si="385"/>
        <v>643.5</v>
      </c>
      <c r="S932" s="667">
        <f t="shared" si="385"/>
        <v>0</v>
      </c>
      <c r="T932" s="667">
        <f t="shared" si="385"/>
        <v>0</v>
      </c>
      <c r="U932" s="667">
        <f t="shared" si="385"/>
        <v>0</v>
      </c>
      <c r="W932" s="297"/>
      <c r="X932" s="297"/>
    </row>
    <row r="933" spans="1:24" s="318" customFormat="1" ht="16.5" customHeight="1">
      <c r="A933" s="769"/>
      <c r="B933" s="656"/>
      <c r="C933" s="404"/>
      <c r="D933" s="641"/>
      <c r="E933" s="405"/>
      <c r="F933" s="690"/>
      <c r="G933" s="679"/>
      <c r="H933" s="679"/>
      <c r="I933" s="679"/>
      <c r="J933" s="679"/>
      <c r="K933" s="679"/>
      <c r="L933" s="679"/>
      <c r="M933" s="679"/>
      <c r="N933" s="679"/>
      <c r="O933" s="679"/>
      <c r="P933" s="679"/>
      <c r="Q933" s="679"/>
      <c r="R933" s="679"/>
      <c r="S933" s="442"/>
      <c r="T933" s="442"/>
      <c r="U933" s="454"/>
      <c r="V933" s="766"/>
      <c r="W933" s="406"/>
      <c r="X933" s="406"/>
    </row>
    <row r="934" spans="1:24" s="337" customFormat="1" ht="16.5" customHeight="1">
      <c r="A934" s="334"/>
      <c r="B934" s="597"/>
      <c r="C934" s="333"/>
      <c r="D934" s="335"/>
      <c r="E934" s="336"/>
      <c r="F934" s="653">
        <f>F930-F932</f>
        <v>0</v>
      </c>
      <c r="G934" s="653">
        <f t="shared" ref="G934:U934" si="386">G930-G932</f>
        <v>0</v>
      </c>
      <c r="H934" s="653">
        <f t="shared" si="386"/>
        <v>0</v>
      </c>
      <c r="I934" s="653">
        <f t="shared" si="386"/>
        <v>0</v>
      </c>
      <c r="J934" s="653">
        <f t="shared" si="386"/>
        <v>0</v>
      </c>
      <c r="K934" s="653">
        <f t="shared" si="386"/>
        <v>0</v>
      </c>
      <c r="L934" s="653">
        <f t="shared" si="386"/>
        <v>0</v>
      </c>
      <c r="M934" s="653">
        <f t="shared" si="386"/>
        <v>0</v>
      </c>
      <c r="N934" s="653">
        <f t="shared" si="386"/>
        <v>0</v>
      </c>
      <c r="O934" s="653">
        <f t="shared" si="386"/>
        <v>0</v>
      </c>
      <c r="P934" s="653">
        <f>P930-P932</f>
        <v>0</v>
      </c>
      <c r="Q934" s="653">
        <f t="shared" si="386"/>
        <v>0</v>
      </c>
      <c r="R934" s="653">
        <f t="shared" si="386"/>
        <v>0</v>
      </c>
      <c r="S934" s="653">
        <f t="shared" si="386"/>
        <v>0</v>
      </c>
      <c r="T934" s="653">
        <f t="shared" si="386"/>
        <v>0</v>
      </c>
      <c r="U934" s="653">
        <f t="shared" si="386"/>
        <v>0</v>
      </c>
      <c r="W934" s="338"/>
      <c r="X934" s="338"/>
    </row>
    <row r="935" spans="1:24" s="59" customFormat="1" ht="16.5" customHeight="1">
      <c r="A935" s="769"/>
      <c r="B935" s="656"/>
      <c r="C935" s="404"/>
      <c r="D935" s="641"/>
      <c r="E935" s="405"/>
      <c r="F935" s="690"/>
      <c r="G935" s="679"/>
      <c r="H935" s="679"/>
      <c r="I935" s="679"/>
      <c r="J935" s="679"/>
      <c r="K935" s="679"/>
      <c r="L935" s="679"/>
      <c r="M935" s="679"/>
      <c r="N935" s="679"/>
      <c r="O935" s="679"/>
      <c r="P935" s="679"/>
      <c r="Q935" s="679"/>
      <c r="R935" s="679"/>
      <c r="S935" s="442"/>
      <c r="T935" s="442"/>
      <c r="U935" s="454"/>
      <c r="V935" s="766"/>
      <c r="W935" s="406"/>
      <c r="X935" s="406"/>
    </row>
    <row r="936" spans="1:24" s="322" customFormat="1" ht="16.5" customHeight="1">
      <c r="A936" s="352"/>
      <c r="B936" s="596" t="s">
        <v>909</v>
      </c>
      <c r="C936" s="840">
        <f>SUM(C13:C922)</f>
        <v>1</v>
      </c>
      <c r="D936" s="414"/>
      <c r="E936" s="415"/>
      <c r="F936" s="665">
        <f t="shared" ref="F936:U936" si="387">F30+F252+F577+F915+F930</f>
        <v>7479.9999999999991</v>
      </c>
      <c r="G936" s="661">
        <f t="shared" si="387"/>
        <v>3300</v>
      </c>
      <c r="H936" s="661">
        <f t="shared" si="387"/>
        <v>3300</v>
      </c>
      <c r="I936" s="661">
        <f t="shared" si="387"/>
        <v>6600</v>
      </c>
      <c r="J936" s="661">
        <f t="shared" si="387"/>
        <v>3300</v>
      </c>
      <c r="K936" s="661">
        <f t="shared" si="387"/>
        <v>3300</v>
      </c>
      <c r="L936" s="661">
        <f t="shared" si="387"/>
        <v>6600</v>
      </c>
      <c r="M936" s="661">
        <f t="shared" si="387"/>
        <v>3300</v>
      </c>
      <c r="N936" s="661">
        <f t="shared" si="387"/>
        <v>3300</v>
      </c>
      <c r="O936" s="661">
        <f t="shared" si="387"/>
        <v>3300</v>
      </c>
      <c r="P936" s="661">
        <f t="shared" si="387"/>
        <v>880</v>
      </c>
      <c r="Q936" s="661">
        <f t="shared" si="387"/>
        <v>9900</v>
      </c>
      <c r="R936" s="661">
        <f t="shared" si="387"/>
        <v>9900</v>
      </c>
      <c r="S936" s="661">
        <f t="shared" si="387"/>
        <v>220</v>
      </c>
      <c r="T936" s="661">
        <f t="shared" si="387"/>
        <v>220</v>
      </c>
      <c r="U936" s="661">
        <f t="shared" si="387"/>
        <v>440</v>
      </c>
      <c r="V936" s="378"/>
      <c r="W936" s="353"/>
      <c r="X936" s="353"/>
    </row>
    <row r="937" spans="1:24" s="59" customFormat="1" ht="16.5" customHeight="1">
      <c r="A937" s="769"/>
      <c r="B937" s="656"/>
      <c r="C937" s="404"/>
      <c r="D937" s="641"/>
      <c r="E937" s="405"/>
      <c r="F937" s="690"/>
      <c r="G937" s="679"/>
      <c r="H937" s="679"/>
      <c r="I937" s="679"/>
      <c r="J937" s="679"/>
      <c r="K937" s="679"/>
      <c r="L937" s="679"/>
      <c r="M937" s="354"/>
      <c r="N937" s="679"/>
      <c r="O937" s="679"/>
      <c r="P937" s="679"/>
      <c r="Q937" s="679"/>
      <c r="R937" s="679"/>
      <c r="S937" s="442"/>
      <c r="T937" s="442"/>
      <c r="U937" s="454"/>
      <c r="V937" s="766"/>
      <c r="W937" s="406"/>
      <c r="X937" s="406"/>
    </row>
    <row r="938" spans="1:24" s="59" customFormat="1">
      <c r="A938" s="39"/>
      <c r="B938" s="595"/>
      <c r="C938" s="96"/>
      <c r="D938" s="39"/>
      <c r="E938" s="97"/>
      <c r="F938" s="273"/>
      <c r="G938" s="645"/>
      <c r="H938" s="645"/>
      <c r="I938" s="645"/>
      <c r="J938" s="645"/>
      <c r="K938" s="645"/>
      <c r="L938" s="645"/>
      <c r="M938" s="645"/>
      <c r="N938" s="645"/>
      <c r="O938" s="645"/>
      <c r="P938" s="645"/>
      <c r="Q938" s="645"/>
      <c r="R938" s="645"/>
      <c r="S938" s="645"/>
      <c r="T938" s="645"/>
      <c r="U938" s="332"/>
      <c r="V938" s="766"/>
      <c r="W938" s="766"/>
      <c r="X938" s="766"/>
    </row>
    <row r="939" spans="1:24" s="59" customFormat="1" ht="15.75" thickBot="1">
      <c r="A939" s="935" t="s">
        <v>910</v>
      </c>
      <c r="B939" s="936"/>
      <c r="C939" s="936"/>
      <c r="D939" s="936"/>
      <c r="E939" s="936"/>
      <c r="F939" s="274"/>
      <c r="G939" s="645"/>
      <c r="H939" s="645"/>
      <c r="I939" s="645"/>
      <c r="J939" s="645"/>
      <c r="K939" s="645"/>
      <c r="L939" s="645"/>
      <c r="M939" s="645"/>
      <c r="N939" s="645"/>
      <c r="O939" s="645"/>
      <c r="P939" s="645"/>
      <c r="Q939" s="645"/>
      <c r="R939" s="645"/>
      <c r="S939" s="645"/>
      <c r="T939" s="645"/>
      <c r="U939" s="332"/>
      <c r="V939" s="766"/>
      <c r="W939" s="766"/>
      <c r="X939" s="766"/>
    </row>
    <row r="940" spans="1:24" s="59" customFormat="1" ht="45.75" thickBot="1">
      <c r="A940" s="522" t="s">
        <v>911</v>
      </c>
      <c r="B940" s="594" t="s">
        <v>912</v>
      </c>
      <c r="C940" s="521" t="s">
        <v>913</v>
      </c>
      <c r="D940" s="520" t="s">
        <v>914</v>
      </c>
      <c r="E940" s="519" t="s">
        <v>915</v>
      </c>
      <c r="F940" s="518" t="s">
        <v>916</v>
      </c>
      <c r="G940" s="807"/>
      <c r="H940" s="808"/>
      <c r="I940" s="646"/>
      <c r="J940" s="646"/>
      <c r="K940" s="646"/>
      <c r="L940" s="646"/>
      <c r="M940" s="645"/>
      <c r="N940" s="645"/>
      <c r="O940" s="645"/>
      <c r="P940" s="645"/>
      <c r="Q940" s="645"/>
      <c r="R940" s="645"/>
      <c r="S940" s="645"/>
      <c r="T940" s="645"/>
      <c r="U940" s="332"/>
      <c r="V940" s="766"/>
      <c r="W940" s="766"/>
      <c r="X940" s="766"/>
    </row>
    <row r="941" spans="1:24" s="59" customFormat="1">
      <c r="A941" s="523">
        <v>40814</v>
      </c>
      <c r="B941" s="872" t="s">
        <v>917</v>
      </c>
      <c r="C941" s="533" t="s">
        <v>918</v>
      </c>
      <c r="D941" s="862">
        <v>25176.12</v>
      </c>
      <c r="E941" s="858">
        <f>D941/$C$960</f>
        <v>14547.625101120999</v>
      </c>
      <c r="F941" s="868">
        <f>E941/220</f>
        <v>66.125568641459083</v>
      </c>
      <c r="G941" s="807"/>
      <c r="H941" s="808"/>
      <c r="I941" s="801"/>
      <c r="J941" s="806"/>
      <c r="K941" s="806"/>
      <c r="L941" s="807"/>
      <c r="M941" s="808"/>
      <c r="N941" s="809"/>
      <c r="O941" s="809"/>
      <c r="P941" s="645"/>
      <c r="Q941" s="645"/>
      <c r="R941" s="645"/>
      <c r="S941" s="645"/>
      <c r="T941" s="645"/>
      <c r="U941" s="332"/>
      <c r="V941" s="766"/>
      <c r="W941" s="766"/>
      <c r="X941" s="766"/>
    </row>
    <row r="942" spans="1:24" s="59" customFormat="1">
      <c r="A942" s="873">
        <v>40813</v>
      </c>
      <c r="B942" s="874" t="s">
        <v>919</v>
      </c>
      <c r="C942" s="60" t="s">
        <v>918</v>
      </c>
      <c r="D942" s="863">
        <v>18417.419999999998</v>
      </c>
      <c r="E942" s="859">
        <f t="shared" ref="E942:E958" si="388">D942/$C$960</f>
        <v>10642.216572287067</v>
      </c>
      <c r="F942" s="869">
        <f>E942/220</f>
        <v>48.373711692213938</v>
      </c>
      <c r="G942" s="807"/>
      <c r="H942" s="808"/>
      <c r="I942" s="801"/>
      <c r="J942" s="806"/>
      <c r="K942" s="806"/>
      <c r="L942" s="807"/>
      <c r="M942" s="808"/>
      <c r="N942" s="809"/>
      <c r="O942" s="809"/>
      <c r="P942" s="645"/>
      <c r="Q942" s="645"/>
      <c r="R942" s="645"/>
      <c r="S942" s="645"/>
      <c r="T942" s="645"/>
      <c r="U942" s="332"/>
      <c r="V942" s="766"/>
      <c r="W942" s="766"/>
      <c r="X942" s="766"/>
    </row>
    <row r="943" spans="1:24" s="59" customFormat="1">
      <c r="A943" s="873">
        <v>40811</v>
      </c>
      <c r="B943" s="874" t="s">
        <v>920</v>
      </c>
      <c r="C943" s="60" t="s">
        <v>918</v>
      </c>
      <c r="D943" s="863">
        <v>16181.11</v>
      </c>
      <c r="E943" s="859">
        <f t="shared" si="388"/>
        <v>9350</v>
      </c>
      <c r="F943" s="869">
        <f t="shared" ref="F943:F954" si="389">E943/220</f>
        <v>42.5</v>
      </c>
      <c r="G943" s="807"/>
      <c r="H943" s="808"/>
      <c r="I943" s="801"/>
      <c r="J943" s="806"/>
      <c r="K943" s="806"/>
      <c r="L943" s="807"/>
      <c r="M943" s="808"/>
      <c r="N943" s="809"/>
      <c r="O943" s="809"/>
      <c r="P943" s="645"/>
      <c r="Q943" s="645"/>
      <c r="R943" s="645"/>
      <c r="S943" s="645"/>
      <c r="T943" s="645"/>
      <c r="U943" s="332"/>
      <c r="V943" s="766"/>
      <c r="W943" s="766"/>
      <c r="X943" s="766"/>
    </row>
    <row r="944" spans="1:24" s="532" customFormat="1">
      <c r="A944" s="539">
        <v>40817</v>
      </c>
      <c r="B944" s="875" t="s">
        <v>921</v>
      </c>
      <c r="C944" s="800" t="s">
        <v>918</v>
      </c>
      <c r="D944" s="864">
        <v>22398.1</v>
      </c>
      <c r="E944" s="860">
        <f t="shared" si="388"/>
        <v>12942.389922570206</v>
      </c>
      <c r="F944" s="870">
        <f t="shared" si="389"/>
        <v>58.829045102591849</v>
      </c>
      <c r="G944" s="807"/>
      <c r="H944" s="808"/>
      <c r="I944" s="801"/>
      <c r="J944" s="806"/>
      <c r="K944" s="806"/>
      <c r="L944" s="807"/>
      <c r="M944" s="808"/>
      <c r="N944" s="809"/>
      <c r="O944" s="809"/>
      <c r="P944" s="645"/>
      <c r="Q944" s="645"/>
      <c r="R944" s="645"/>
      <c r="S944" s="645"/>
      <c r="T944" s="645"/>
      <c r="U944" s="332"/>
      <c r="V944" s="766"/>
      <c r="W944" s="766"/>
      <c r="X944" s="766"/>
    </row>
    <row r="945" spans="1:21" s="59" customFormat="1">
      <c r="A945" s="539">
        <v>40815</v>
      </c>
      <c r="B945" s="875" t="s">
        <v>922</v>
      </c>
      <c r="C945" s="800" t="s">
        <v>918</v>
      </c>
      <c r="D945" s="864">
        <v>11927.1</v>
      </c>
      <c r="E945" s="860">
        <f t="shared" si="388"/>
        <v>6891.8872067491047</v>
      </c>
      <c r="F945" s="870">
        <f t="shared" si="389"/>
        <v>31.32676003067775</v>
      </c>
      <c r="G945" s="807"/>
      <c r="H945" s="808"/>
      <c r="I945" s="801"/>
      <c r="J945" s="806"/>
      <c r="K945" s="806"/>
      <c r="L945" s="807"/>
      <c r="M945" s="808"/>
      <c r="N945" s="809"/>
      <c r="O945" s="809"/>
      <c r="P945" s="645"/>
      <c r="Q945" s="645"/>
      <c r="R945" s="645"/>
      <c r="S945" s="645"/>
      <c r="T945" s="645"/>
      <c r="U945" s="332"/>
    </row>
    <row r="946" spans="1:21" s="59" customFormat="1">
      <c r="A946" s="539">
        <v>40816</v>
      </c>
      <c r="B946" s="875" t="s">
        <v>923</v>
      </c>
      <c r="C946" s="800" t="s">
        <v>918</v>
      </c>
      <c r="D946" s="864">
        <v>16941.439999999999</v>
      </c>
      <c r="E946" s="860">
        <f t="shared" si="388"/>
        <v>9789.3447359297352</v>
      </c>
      <c r="F946" s="870">
        <f t="shared" si="389"/>
        <v>44.49702152695334</v>
      </c>
      <c r="G946" s="807"/>
      <c r="H946" s="808"/>
      <c r="I946" s="801"/>
      <c r="J946" s="806"/>
      <c r="K946" s="806"/>
      <c r="L946" s="807"/>
      <c r="M946" s="808"/>
      <c r="N946" s="809"/>
      <c r="O946" s="809"/>
      <c r="P946" s="645"/>
      <c r="Q946" s="645"/>
      <c r="R946" s="645"/>
      <c r="S946" s="645"/>
      <c r="T946" s="645"/>
      <c r="U946" s="332"/>
    </row>
    <row r="947" spans="1:21" s="532" customFormat="1">
      <c r="A947" s="876">
        <v>40940</v>
      </c>
      <c r="B947" s="875" t="s">
        <v>924</v>
      </c>
      <c r="C947" s="800" t="s">
        <v>918</v>
      </c>
      <c r="D947" s="864">
        <v>17930.71</v>
      </c>
      <c r="E947" s="860">
        <f t="shared" si="388"/>
        <v>10360.978851265458</v>
      </c>
      <c r="F947" s="870">
        <f t="shared" si="389"/>
        <v>47.095358414842991</v>
      </c>
      <c r="G947" s="807"/>
      <c r="H947" s="808"/>
      <c r="I947" s="801"/>
      <c r="J947" s="806"/>
      <c r="K947" s="806"/>
      <c r="L947" s="807"/>
      <c r="M947" s="808"/>
      <c r="N947" s="809"/>
      <c r="O947" s="809"/>
      <c r="P947" s="645"/>
      <c r="Q947" s="645"/>
      <c r="R947" s="645"/>
      <c r="S947" s="645"/>
      <c r="T947" s="645"/>
      <c r="U947" s="332"/>
    </row>
    <row r="948" spans="1:21" s="59" customFormat="1">
      <c r="A948" s="539">
        <v>40813</v>
      </c>
      <c r="B948" s="875" t="s">
        <v>925</v>
      </c>
      <c r="C948" s="800" t="s">
        <v>918</v>
      </c>
      <c r="D948" s="864">
        <v>18417.419999999998</v>
      </c>
      <c r="E948" s="860">
        <f t="shared" si="388"/>
        <v>10642.216572287067</v>
      </c>
      <c r="F948" s="870">
        <f t="shared" si="389"/>
        <v>48.373711692213938</v>
      </c>
      <c r="G948" s="807"/>
      <c r="H948" s="808"/>
      <c r="I948" s="801"/>
      <c r="J948" s="806"/>
      <c r="K948" s="806"/>
      <c r="L948" s="807"/>
      <c r="M948" s="808"/>
      <c r="N948" s="809"/>
      <c r="O948" s="809"/>
      <c r="P948" s="645"/>
      <c r="Q948" s="645"/>
      <c r="R948" s="645"/>
      <c r="S948" s="645"/>
      <c r="T948" s="645"/>
      <c r="U948" s="332"/>
    </row>
    <row r="949" spans="1:21" s="59" customFormat="1">
      <c r="A949" s="539">
        <v>40811</v>
      </c>
      <c r="B949" s="875" t="s">
        <v>926</v>
      </c>
      <c r="C949" s="800" t="s">
        <v>918</v>
      </c>
      <c r="D949" s="864">
        <v>16181.11</v>
      </c>
      <c r="E949" s="860">
        <f t="shared" si="388"/>
        <v>9350</v>
      </c>
      <c r="F949" s="870">
        <f t="shared" si="389"/>
        <v>42.5</v>
      </c>
      <c r="G949" s="807"/>
      <c r="H949" s="808"/>
      <c r="I949" s="801"/>
      <c r="J949" s="806"/>
      <c r="K949" s="806"/>
      <c r="L949" s="807"/>
      <c r="M949" s="808"/>
      <c r="N949" s="809"/>
      <c r="O949" s="809"/>
      <c r="P949" s="645"/>
      <c r="Q949" s="645"/>
      <c r="R949" s="645"/>
      <c r="S949" s="645"/>
      <c r="T949" s="645"/>
      <c r="U949" s="332"/>
    </row>
    <row r="950" spans="1:21" s="59" customFormat="1">
      <c r="A950" s="539">
        <v>40939</v>
      </c>
      <c r="B950" s="875" t="s">
        <v>927</v>
      </c>
      <c r="C950" s="800" t="s">
        <v>918</v>
      </c>
      <c r="D950" s="864">
        <v>18988.810000000001</v>
      </c>
      <c r="E950" s="860">
        <f t="shared" si="388"/>
        <v>10972.385299895992</v>
      </c>
      <c r="F950" s="870">
        <f t="shared" si="389"/>
        <v>49.874478635890874</v>
      </c>
      <c r="G950" s="807"/>
      <c r="H950" s="808"/>
      <c r="I950" s="801"/>
      <c r="J950" s="806"/>
      <c r="K950" s="806"/>
      <c r="L950" s="807"/>
      <c r="M950" s="808"/>
      <c r="N950" s="809"/>
      <c r="O950" s="809"/>
      <c r="P950" s="645"/>
      <c r="Q950" s="645"/>
      <c r="R950" s="645"/>
      <c r="S950" s="645"/>
      <c r="T950" s="645"/>
      <c r="U950" s="332"/>
    </row>
    <row r="951" spans="1:21" s="59" customFormat="1">
      <c r="A951" s="539">
        <v>40939</v>
      </c>
      <c r="B951" s="875" t="s">
        <v>928</v>
      </c>
      <c r="C951" s="800" t="s">
        <v>918</v>
      </c>
      <c r="D951" s="864">
        <v>18988.810000000001</v>
      </c>
      <c r="E951" s="860">
        <f t="shared" si="388"/>
        <v>10972.385299895992</v>
      </c>
      <c r="F951" s="870">
        <f t="shared" si="389"/>
        <v>49.874478635890874</v>
      </c>
      <c r="G951" s="807"/>
      <c r="H951" s="808"/>
      <c r="I951" s="801"/>
      <c r="J951" s="806"/>
      <c r="K951" s="806"/>
      <c r="L951" s="807"/>
      <c r="M951" s="808"/>
      <c r="N951" s="809"/>
      <c r="O951" s="809"/>
      <c r="P951" s="645"/>
      <c r="Q951" s="645"/>
      <c r="R951" s="645"/>
      <c r="S951" s="645"/>
      <c r="T951" s="645"/>
      <c r="U951" s="332"/>
    </row>
    <row r="952" spans="1:21" s="59" customFormat="1" ht="15" hidden="1" customHeight="1">
      <c r="A952" s="539">
        <v>40816</v>
      </c>
      <c r="B952" s="875" t="s">
        <v>923</v>
      </c>
      <c r="C952" s="800" t="s">
        <v>918</v>
      </c>
      <c r="D952" s="864"/>
      <c r="E952" s="860">
        <f t="shared" si="388"/>
        <v>0</v>
      </c>
      <c r="F952" s="870">
        <f t="shared" si="389"/>
        <v>0</v>
      </c>
      <c r="G952" s="807"/>
      <c r="H952" s="808"/>
      <c r="I952" s="801"/>
      <c r="J952" s="806"/>
      <c r="K952" s="806"/>
      <c r="L952" s="807"/>
      <c r="M952" s="808"/>
      <c r="N952" s="459"/>
      <c r="O952" s="459"/>
      <c r="P952" s="79"/>
      <c r="Q952" s="79"/>
      <c r="R952" s="79"/>
      <c r="S952" s="79"/>
      <c r="T952" s="79"/>
      <c r="U952" s="332"/>
    </row>
    <row r="953" spans="1:21" s="59" customFormat="1">
      <c r="A953" s="539">
        <v>40808</v>
      </c>
      <c r="B953" s="875" t="s">
        <v>929</v>
      </c>
      <c r="C953" s="800" t="s">
        <v>918</v>
      </c>
      <c r="D953" s="864">
        <v>5305.08</v>
      </c>
      <c r="E953" s="860">
        <f t="shared" si="388"/>
        <v>3065.4570669132095</v>
      </c>
      <c r="F953" s="870">
        <f t="shared" si="389"/>
        <v>13.933895758696407</v>
      </c>
      <c r="G953" s="807"/>
      <c r="H953" s="808"/>
      <c r="I953" s="801"/>
      <c r="J953" s="806"/>
      <c r="K953" s="806"/>
      <c r="L953" s="807"/>
      <c r="M953" s="808"/>
      <c r="N953" s="459"/>
      <c r="O953" s="459"/>
      <c r="P953" s="79"/>
      <c r="Q953" s="79"/>
      <c r="R953" s="79"/>
      <c r="S953" s="79"/>
      <c r="T953" s="79"/>
      <c r="U953" s="332"/>
    </row>
    <row r="954" spans="1:21" s="59" customFormat="1">
      <c r="A954" s="539">
        <v>40807</v>
      </c>
      <c r="B954" s="875" t="s">
        <v>930</v>
      </c>
      <c r="C954" s="800" t="s">
        <v>918</v>
      </c>
      <c r="D954" s="864">
        <v>4439.68</v>
      </c>
      <c r="E954" s="860">
        <f t="shared" si="388"/>
        <v>2565.3992834854967</v>
      </c>
      <c r="F954" s="870">
        <f t="shared" si="389"/>
        <v>11.660905834024986</v>
      </c>
      <c r="G954" s="807"/>
      <c r="H954" s="808"/>
      <c r="I954" s="801"/>
      <c r="J954" s="806"/>
      <c r="K954" s="806"/>
      <c r="L954" s="807"/>
      <c r="M954" s="808"/>
      <c r="N954" s="459"/>
      <c r="O954" s="459"/>
      <c r="P954" s="79"/>
      <c r="Q954" s="79"/>
      <c r="R954" s="79"/>
      <c r="S954" s="79"/>
      <c r="T954" s="79"/>
      <c r="U954" s="332"/>
    </row>
    <row r="955" spans="1:21" s="59" customFormat="1" ht="15" hidden="1" customHeight="1">
      <c r="A955" s="539">
        <v>40812</v>
      </c>
      <c r="B955" s="875" t="s">
        <v>931</v>
      </c>
      <c r="C955" s="800" t="s">
        <v>918</v>
      </c>
      <c r="D955" s="865">
        <v>4007.34</v>
      </c>
      <c r="E955" s="860">
        <f t="shared" si="388"/>
        <v>2315.5784121114066</v>
      </c>
      <c r="F955" s="870">
        <f>E955/220</f>
        <v>10.525356418688212</v>
      </c>
      <c r="G955" s="807"/>
      <c r="H955" s="808"/>
      <c r="I955" s="801"/>
      <c r="J955" s="806"/>
      <c r="K955" s="806"/>
      <c r="L955" s="807"/>
      <c r="M955" s="808"/>
      <c r="N955" s="802"/>
      <c r="O955" s="810"/>
      <c r="P955" s="280"/>
      <c r="Q955" s="280"/>
      <c r="R955" s="884">
        <v>30</v>
      </c>
      <c r="S955" s="884"/>
      <c r="T955" s="884"/>
      <c r="U955" s="329">
        <f>O955*R955</f>
        <v>0</v>
      </c>
    </row>
    <row r="956" spans="1:21" s="59" customFormat="1">
      <c r="A956" s="877">
        <v>41093</v>
      </c>
      <c r="B956" s="878" t="s">
        <v>887</v>
      </c>
      <c r="C956" s="800" t="s">
        <v>918</v>
      </c>
      <c r="D956" s="866">
        <v>1275.29</v>
      </c>
      <c r="E956" s="860">
        <f t="shared" si="388"/>
        <v>736.90627528024959</v>
      </c>
      <c r="F956" s="870">
        <f>E956/220</f>
        <v>3.349573978546589</v>
      </c>
      <c r="G956" s="807"/>
      <c r="H956" s="808"/>
      <c r="I956" s="801"/>
      <c r="J956" s="806"/>
      <c r="K956" s="806"/>
      <c r="L956" s="807"/>
      <c r="M956" s="808"/>
      <c r="N956" s="802"/>
      <c r="O956" s="810"/>
      <c r="P956" s="280"/>
      <c r="Q956" s="280"/>
      <c r="R956" s="884"/>
      <c r="S956" s="884"/>
      <c r="T956" s="884"/>
      <c r="U956" s="329"/>
    </row>
    <row r="957" spans="1:21" s="59" customFormat="1">
      <c r="A957" s="877">
        <v>40931</v>
      </c>
      <c r="B957" s="878" t="s">
        <v>932</v>
      </c>
      <c r="C957" s="800" t="s">
        <v>918</v>
      </c>
      <c r="D957" s="866">
        <v>6360.05</v>
      </c>
      <c r="E957" s="860">
        <f t="shared" si="388"/>
        <v>3675.0548942563278</v>
      </c>
      <c r="F957" s="870">
        <f>E957/220</f>
        <v>16.704794973892398</v>
      </c>
      <c r="G957" s="807"/>
      <c r="H957" s="808"/>
      <c r="I957" s="801"/>
      <c r="J957" s="806"/>
      <c r="K957" s="806"/>
      <c r="L957" s="807"/>
      <c r="M957" s="808"/>
      <c r="N957" s="802"/>
      <c r="O957" s="810"/>
      <c r="P957" s="280"/>
      <c r="Q957" s="280"/>
      <c r="R957" s="884"/>
      <c r="S957" s="884"/>
      <c r="T957" s="884"/>
      <c r="U957" s="329"/>
    </row>
    <row r="958" spans="1:21" s="59" customFormat="1" ht="15.75" thickBot="1">
      <c r="A958" s="879">
        <v>40819</v>
      </c>
      <c r="B958" s="878" t="s">
        <v>889</v>
      </c>
      <c r="C958" s="531" t="s">
        <v>918</v>
      </c>
      <c r="D958" s="867">
        <v>4738.3999999999996</v>
      </c>
      <c r="E958" s="861">
        <f t="shared" si="388"/>
        <v>2738.0099387495666</v>
      </c>
      <c r="F958" s="871">
        <f>E958/220</f>
        <v>12.44549972158894</v>
      </c>
      <c r="G958" s="807"/>
      <c r="H958" s="808"/>
      <c r="I958" s="801"/>
      <c r="J958" s="806"/>
      <c r="K958" s="806"/>
      <c r="L958" s="807"/>
      <c r="M958" s="808"/>
      <c r="N958" s="802"/>
      <c r="O958" s="810"/>
      <c r="P958" s="280"/>
      <c r="Q958" s="280"/>
      <c r="R958" s="884"/>
      <c r="S958" s="884"/>
      <c r="T958" s="884"/>
      <c r="U958" s="329"/>
    </row>
    <row r="959" spans="1:21" s="59" customFormat="1">
      <c r="A959" s="528"/>
      <c r="B959" s="593"/>
      <c r="C959" s="271"/>
      <c r="D959" s="527"/>
      <c r="E959" s="529"/>
      <c r="F959" s="530"/>
      <c r="G959" s="807"/>
      <c r="H959" s="808"/>
      <c r="I959" s="802"/>
      <c r="J959" s="806"/>
      <c r="K959" s="802"/>
      <c r="L959" s="803"/>
      <c r="M959" s="811"/>
      <c r="N959" s="802"/>
      <c r="O959" s="810"/>
      <c r="P959" s="280"/>
      <c r="Q959" s="280"/>
      <c r="R959" s="884"/>
      <c r="S959" s="884"/>
      <c r="T959" s="884"/>
      <c r="U959" s="329"/>
    </row>
    <row r="960" spans="1:21" s="59" customFormat="1" ht="15.75" thickBot="1">
      <c r="A960" s="937" t="s">
        <v>933</v>
      </c>
      <c r="B960" s="938"/>
      <c r="C960" s="535">
        <v>1.7305999999999999</v>
      </c>
      <c r="D960" s="534"/>
      <c r="E960" s="536"/>
      <c r="F960" s="275"/>
      <c r="G960" s="807"/>
      <c r="H960" s="808"/>
      <c r="I960" s="802"/>
      <c r="J960" s="802"/>
      <c r="K960" s="802"/>
      <c r="L960" s="802"/>
      <c r="M960" s="811"/>
      <c r="N960" s="802"/>
      <c r="O960" s="802"/>
      <c r="P960" s="884"/>
      <c r="Q960" s="884"/>
      <c r="R960" s="884"/>
      <c r="S960" s="884"/>
      <c r="T960" s="884"/>
      <c r="U960" s="329"/>
    </row>
    <row r="961" spans="1:19">
      <c r="A961" s="766"/>
      <c r="B961" s="592" t="s">
        <v>934</v>
      </c>
      <c r="C961" s="767">
        <f>'CALCULO DO FATO K'!D10</f>
        <v>2.3175723620309046</v>
      </c>
      <c r="D961" s="766"/>
      <c r="F961" s="884"/>
      <c r="G961" s="804"/>
      <c r="H961" s="805"/>
      <c r="I961" s="802"/>
      <c r="J961" s="803"/>
      <c r="K961" s="802"/>
      <c r="L961" s="812"/>
      <c r="M961" s="813"/>
      <c r="N961" s="802"/>
      <c r="O961" s="811"/>
      <c r="P961" s="575"/>
      <c r="Q961" s="575"/>
      <c r="R961" s="575"/>
      <c r="S961" s="575"/>
    </row>
    <row r="962" spans="1:19">
      <c r="A962" s="934" t="s">
        <v>935</v>
      </c>
      <c r="B962" s="934"/>
      <c r="C962" s="766"/>
      <c r="D962" s="766"/>
      <c r="F962" s="884"/>
      <c r="G962" s="884"/>
      <c r="H962" s="574"/>
      <c r="I962" s="884"/>
      <c r="J962" s="803"/>
      <c r="K962" s="802"/>
      <c r="L962" s="812"/>
      <c r="M962" s="813"/>
      <c r="N962" s="802"/>
      <c r="O962" s="802"/>
      <c r="P962" s="884"/>
      <c r="Q962" s="884"/>
      <c r="R962" s="884"/>
      <c r="S962" s="884"/>
    </row>
    <row r="963" spans="1:19">
      <c r="A963" s="524"/>
      <c r="B963" s="642" t="s">
        <v>936</v>
      </c>
      <c r="C963" s="766"/>
      <c r="D963" s="766"/>
      <c r="F963" s="884"/>
      <c r="G963" s="884"/>
      <c r="H963" s="574"/>
      <c r="I963" s="884"/>
      <c r="J963" s="803"/>
      <c r="K963" s="802"/>
      <c r="L963" s="805"/>
      <c r="M963" s="814"/>
      <c r="N963" s="802"/>
      <c r="O963" s="803"/>
      <c r="P963" s="575"/>
      <c r="Q963" s="575"/>
      <c r="R963" s="575"/>
      <c r="S963" s="575"/>
    </row>
    <row r="964" spans="1:19" ht="16.5" customHeight="1">
      <c r="A964" s="766"/>
      <c r="B964" s="650"/>
      <c r="C964" s="766"/>
      <c r="D964" s="766"/>
      <c r="F964" s="884"/>
      <c r="G964" s="884"/>
      <c r="H964" s="574"/>
      <c r="I964" s="884"/>
      <c r="J964" s="802"/>
      <c r="K964" s="802"/>
      <c r="L964" s="805"/>
      <c r="M964" s="814"/>
      <c r="N964" s="802"/>
      <c r="O964" s="802"/>
      <c r="P964" s="884"/>
      <c r="Q964" s="884"/>
      <c r="R964" s="884"/>
      <c r="S964" s="884"/>
    </row>
    <row r="965" spans="1:19" ht="15.75" customHeight="1">
      <c r="A965" s="766"/>
      <c r="B965" s="650"/>
      <c r="C965" s="766"/>
      <c r="D965" s="766"/>
      <c r="F965" s="884"/>
      <c r="G965" s="884"/>
      <c r="H965" s="575"/>
      <c r="I965" s="884"/>
      <c r="J965" s="803"/>
      <c r="K965" s="802"/>
      <c r="L965" s="805"/>
      <c r="M965" s="815"/>
      <c r="N965" s="802"/>
      <c r="O965" s="802"/>
      <c r="P965" s="575"/>
      <c r="Q965" s="575"/>
      <c r="R965" s="575"/>
      <c r="S965" s="575"/>
    </row>
    <row r="966" spans="1:19" ht="23.25">
      <c r="A966" s="766"/>
      <c r="B966" s="650"/>
      <c r="C966" s="766"/>
      <c r="D966" s="766"/>
      <c r="F966" s="884"/>
      <c r="G966" s="574"/>
      <c r="H966" s="884"/>
      <c r="I966" s="884"/>
      <c r="J966" s="802"/>
      <c r="K966" s="802"/>
      <c r="L966" s="804"/>
      <c r="M966" s="815"/>
      <c r="N966" s="802"/>
      <c r="O966" s="802"/>
      <c r="P966" s="884"/>
      <c r="Q966" s="884"/>
      <c r="R966" s="884"/>
      <c r="S966" s="884"/>
    </row>
    <row r="967" spans="1:19">
      <c r="A967" s="766"/>
      <c r="C967" s="766"/>
      <c r="D967" s="766"/>
      <c r="F967" s="884"/>
      <c r="G967" s="884"/>
      <c r="H967" s="884"/>
      <c r="I967" s="884"/>
      <c r="J967" s="811"/>
      <c r="K967" s="802"/>
      <c r="L967" s="817"/>
      <c r="M967" s="815"/>
      <c r="N967" s="802"/>
      <c r="O967" s="802"/>
      <c r="P967" s="884"/>
      <c r="Q967" s="884"/>
      <c r="R967" s="884"/>
      <c r="S967" s="884"/>
    </row>
    <row r="968" spans="1:19">
      <c r="A968" s="766"/>
      <c r="C968" s="766"/>
      <c r="D968" s="766"/>
      <c r="F968" s="884"/>
      <c r="G968" s="884"/>
      <c r="H968" s="575"/>
      <c r="I968" s="884"/>
      <c r="J968" s="802"/>
      <c r="K968" s="802"/>
      <c r="L968" s="804"/>
      <c r="M968" s="814"/>
      <c r="N968" s="802"/>
      <c r="O968" s="802"/>
      <c r="P968" s="884"/>
      <c r="Q968" s="884"/>
      <c r="R968" s="884"/>
      <c r="S968" s="884"/>
    </row>
    <row r="969" spans="1:19">
      <c r="A969" s="766"/>
      <c r="C969" s="766"/>
      <c r="D969" s="766"/>
      <c r="F969" s="884"/>
      <c r="G969" s="884"/>
      <c r="H969" s="575"/>
      <c r="I969" s="575"/>
      <c r="J969" s="811"/>
      <c r="K969" s="811"/>
      <c r="L969" s="817"/>
      <c r="M969" s="813"/>
      <c r="N969" s="802"/>
      <c r="O969" s="802"/>
      <c r="P969" s="884"/>
      <c r="Q969" s="884"/>
      <c r="R969" s="884"/>
      <c r="S969" s="884"/>
    </row>
    <row r="970" spans="1:19">
      <c r="A970" s="766"/>
      <c r="C970" s="766"/>
      <c r="D970" s="766"/>
      <c r="F970" s="884"/>
      <c r="G970" s="884"/>
      <c r="H970" s="884"/>
      <c r="I970" s="884"/>
      <c r="J970" s="802"/>
      <c r="K970" s="802"/>
      <c r="L970" s="804"/>
      <c r="M970" s="816"/>
      <c r="N970" s="802"/>
      <c r="O970" s="811"/>
      <c r="P970" s="884"/>
      <c r="Q970" s="884"/>
      <c r="R970" s="884"/>
      <c r="S970" s="884"/>
    </row>
    <row r="971" spans="1:19">
      <c r="A971" s="766"/>
      <c r="C971" s="766"/>
      <c r="D971" s="766"/>
      <c r="F971" s="884"/>
      <c r="G971" s="884"/>
      <c r="H971" s="884"/>
      <c r="I971" s="884"/>
      <c r="J971" s="802"/>
      <c r="K971" s="802"/>
      <c r="L971" s="802"/>
      <c r="M971" s="802"/>
      <c r="N971" s="802"/>
      <c r="O971" s="802"/>
      <c r="P971" s="884"/>
      <c r="Q971" s="884"/>
      <c r="R971" s="884"/>
      <c r="S971" s="884"/>
    </row>
    <row r="972" spans="1:19">
      <c r="A972" s="766"/>
      <c r="C972" s="766"/>
      <c r="D972" s="766"/>
      <c r="F972" s="884"/>
      <c r="G972" s="884"/>
      <c r="H972" s="575"/>
      <c r="I972" s="884"/>
      <c r="J972" s="802"/>
      <c r="K972" s="802"/>
      <c r="L972" s="817"/>
      <c r="M972" s="817"/>
      <c r="N972" s="802"/>
      <c r="O972" s="802"/>
      <c r="P972" s="884"/>
      <c r="Q972" s="884"/>
      <c r="R972" s="884"/>
      <c r="S972" s="884"/>
    </row>
    <row r="973" spans="1:19">
      <c r="A973" s="766"/>
      <c r="C973" s="766"/>
      <c r="D973" s="766"/>
      <c r="F973" s="884"/>
      <c r="G973" s="884"/>
      <c r="H973" s="280"/>
      <c r="I973" s="884"/>
      <c r="J973" s="884"/>
      <c r="K973" s="884"/>
      <c r="L973" s="884"/>
      <c r="M973" s="884"/>
      <c r="N973" s="884"/>
      <c r="O973" s="884"/>
      <c r="P973" s="884"/>
      <c r="Q973" s="884"/>
      <c r="R973" s="884"/>
      <c r="S973" s="884"/>
    </row>
    <row r="975" spans="1:19">
      <c r="A975" s="766"/>
      <c r="C975" s="766"/>
      <c r="D975" s="766"/>
      <c r="F975" s="884"/>
      <c r="G975" s="884"/>
      <c r="H975" s="575"/>
      <c r="I975" s="884"/>
      <c r="J975" s="884"/>
      <c r="K975" s="884"/>
      <c r="L975" s="884"/>
      <c r="M975" s="884"/>
      <c r="N975" s="884"/>
      <c r="O975" s="884"/>
      <c r="P975" s="884"/>
      <c r="Q975" s="884"/>
      <c r="R975" s="884"/>
      <c r="S975" s="884"/>
    </row>
    <row r="976" spans="1:19">
      <c r="A976" s="766"/>
      <c r="C976" s="766"/>
      <c r="D976" s="766"/>
      <c r="F976" s="884"/>
      <c r="G976" s="884"/>
      <c r="H976" s="884"/>
      <c r="I976" s="884"/>
      <c r="J976" s="884"/>
      <c r="K976" s="884"/>
      <c r="L976" s="884"/>
      <c r="M976" s="575"/>
      <c r="N976" s="884"/>
      <c r="O976" s="884"/>
      <c r="P976" s="884"/>
      <c r="Q976" s="884"/>
      <c r="R976" s="884"/>
      <c r="S976" s="884"/>
    </row>
    <row r="978" spans="13:13">
      <c r="M978" s="575"/>
    </row>
    <row r="979" spans="13:13">
      <c r="M979" s="575"/>
    </row>
  </sheetData>
  <mergeCells count="9">
    <mergeCell ref="A2:E3"/>
    <mergeCell ref="A8:E8"/>
    <mergeCell ref="F10:R10"/>
    <mergeCell ref="A5:G5"/>
    <mergeCell ref="A962:B962"/>
    <mergeCell ref="A939:E939"/>
    <mergeCell ref="A960:B960"/>
    <mergeCell ref="A6:G6"/>
    <mergeCell ref="F9:R9"/>
  </mergeCells>
  <pageMargins left="0.51181102362204722" right="0.51181102362204722" top="0.78740157480314965" bottom="0.78740157480314965" header="0.31496062992125984" footer="0.31496062992125984"/>
  <pageSetup paperSize="9" scale="1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C2:H34"/>
  <sheetViews>
    <sheetView topLeftCell="A4" workbookViewId="0">
      <selection activeCell="L26" sqref="L26"/>
    </sheetView>
  </sheetViews>
  <sheetFormatPr defaultRowHeight="15"/>
  <cols>
    <col min="3" max="3" width="36.5703125" bestFit="1" customWidth="1"/>
    <col min="4" max="4" width="53" bestFit="1" customWidth="1"/>
    <col min="5" max="5" width="11.5703125" bestFit="1" customWidth="1"/>
    <col min="7" max="7" width="11.5703125" bestFit="1" customWidth="1"/>
    <col min="8" max="8" width="13.28515625" bestFit="1" customWidth="1"/>
    <col min="9" max="9" width="10.5703125" bestFit="1" customWidth="1"/>
    <col min="10" max="10" width="9.5703125" bestFit="1" customWidth="1"/>
    <col min="11" max="12" width="10.5703125" bestFit="1" customWidth="1"/>
    <col min="13" max="13" width="11.5703125" bestFit="1" customWidth="1"/>
  </cols>
  <sheetData>
    <row r="2" spans="3:8">
      <c r="C2" s="928" t="s">
        <v>937</v>
      </c>
      <c r="D2" s="928"/>
      <c r="E2" s="928"/>
      <c r="F2" s="766"/>
      <c r="G2" s="766"/>
      <c r="H2" s="766"/>
    </row>
    <row r="3" spans="3:8">
      <c r="C3" s="928"/>
      <c r="D3" s="928"/>
      <c r="E3" s="928"/>
      <c r="F3" s="766"/>
      <c r="G3" s="766"/>
      <c r="H3" s="766"/>
    </row>
    <row r="5" spans="3:8">
      <c r="C5" s="766" t="s">
        <v>938</v>
      </c>
      <c r="D5" s="766"/>
      <c r="E5" s="766"/>
      <c r="F5" s="766"/>
      <c r="G5" s="766"/>
      <c r="H5" s="766"/>
    </row>
    <row r="6" spans="3:8">
      <c r="C6" s="5" t="s">
        <v>939</v>
      </c>
      <c r="D6" s="8">
        <v>0.73060000000000003</v>
      </c>
      <c r="E6" s="67"/>
      <c r="F6" s="766"/>
      <c r="G6" s="767"/>
      <c r="H6" s="767"/>
    </row>
    <row r="7" spans="3:8">
      <c r="C7" s="5" t="s">
        <v>940</v>
      </c>
      <c r="D7" s="8">
        <v>0.2</v>
      </c>
      <c r="E7" s="766"/>
      <c r="F7" s="766"/>
      <c r="G7" s="766"/>
      <c r="H7" s="766"/>
    </row>
    <row r="8" spans="3:8">
      <c r="C8" s="5" t="s">
        <v>941</v>
      </c>
      <c r="D8" s="8">
        <v>8.7599999999999997E-2</v>
      </c>
      <c r="E8" s="766"/>
      <c r="F8" s="766"/>
      <c r="G8" s="766"/>
      <c r="H8" s="766"/>
    </row>
    <row r="9" spans="3:8">
      <c r="C9" s="5" t="s">
        <v>942</v>
      </c>
      <c r="D9" s="8">
        <f>G30</f>
        <v>0.10375275938189832</v>
      </c>
      <c r="E9" s="766"/>
      <c r="F9" s="767"/>
      <c r="G9" s="766"/>
      <c r="H9" s="766"/>
    </row>
    <row r="10" spans="3:8">
      <c r="C10" s="704" t="s">
        <v>943</v>
      </c>
      <c r="D10" s="705">
        <f>(1+D6+D7)*(1+D8)*(1+D9)</f>
        <v>2.3175723620309046</v>
      </c>
      <c r="E10" s="766"/>
      <c r="F10" s="766"/>
      <c r="G10" s="766"/>
      <c r="H10" s="766"/>
    </row>
    <row r="11" spans="3:8" s="703" customFormat="1">
      <c r="C11" s="704" t="s">
        <v>944</v>
      </c>
      <c r="D11" s="705">
        <f>(1+D8)*(1+D9)</f>
        <v>1.2004415011037526</v>
      </c>
      <c r="E11" s="766"/>
      <c r="F11" s="766"/>
      <c r="G11" s="766"/>
      <c r="H11" s="766"/>
    </row>
    <row r="12" spans="3:8">
      <c r="C12" s="766"/>
      <c r="D12" s="767"/>
      <c r="E12" s="766"/>
      <c r="F12" s="766"/>
      <c r="G12" s="766"/>
      <c r="H12" s="1"/>
    </row>
    <row r="13" spans="3:8" ht="32.25" customHeight="1">
      <c r="C13" s="943" t="s">
        <v>945</v>
      </c>
      <c r="D13" s="944"/>
      <c r="E13" s="945"/>
      <c r="F13" s="766"/>
      <c r="G13" s="766"/>
      <c r="H13" s="1"/>
    </row>
    <row r="14" spans="3:8">
      <c r="C14" s="10"/>
      <c r="D14" s="49"/>
      <c r="E14" s="9"/>
      <c r="F14" s="766"/>
      <c r="G14" s="766"/>
      <c r="H14" s="1"/>
    </row>
    <row r="15" spans="3:8">
      <c r="C15" s="10" t="s">
        <v>946</v>
      </c>
      <c r="D15" s="49"/>
      <c r="E15" s="9"/>
      <c r="F15" s="766"/>
      <c r="G15" s="766"/>
      <c r="H15" s="6"/>
    </row>
    <row r="16" spans="3:8">
      <c r="C16" s="10" t="s">
        <v>947</v>
      </c>
      <c r="D16" s="49"/>
      <c r="E16" s="9"/>
      <c r="F16" s="766"/>
      <c r="G16" s="766"/>
      <c r="H16" s="6"/>
    </row>
    <row r="17" spans="3:8">
      <c r="C17" s="10" t="s">
        <v>948</v>
      </c>
      <c r="D17" s="49"/>
      <c r="E17" s="9"/>
      <c r="F17" s="766"/>
      <c r="G17" s="766"/>
      <c r="H17" s="766"/>
    </row>
    <row r="18" spans="3:8">
      <c r="C18" s="10" t="s">
        <v>949</v>
      </c>
      <c r="D18" s="49"/>
      <c r="E18" s="9"/>
      <c r="F18" s="766"/>
      <c r="G18" s="766"/>
      <c r="H18" s="766"/>
    </row>
    <row r="19" spans="3:8">
      <c r="C19" s="10" t="s">
        <v>950</v>
      </c>
      <c r="D19" s="49"/>
      <c r="E19" s="9"/>
      <c r="F19" s="766"/>
      <c r="G19" s="766"/>
      <c r="H19" s="766"/>
    </row>
    <row r="20" spans="3:8">
      <c r="C20" s="10" t="s">
        <v>951</v>
      </c>
      <c r="D20" s="49"/>
      <c r="E20" s="9"/>
      <c r="F20" s="766"/>
      <c r="G20" s="766"/>
      <c r="H20" s="766"/>
    </row>
    <row r="21" spans="3:8">
      <c r="C21" s="10" t="s">
        <v>952</v>
      </c>
      <c r="D21" s="49"/>
      <c r="E21" s="9"/>
      <c r="F21" s="766"/>
      <c r="G21" s="766"/>
      <c r="H21" s="766"/>
    </row>
    <row r="22" spans="3:8">
      <c r="C22" s="10" t="s">
        <v>953</v>
      </c>
      <c r="D22" s="49"/>
      <c r="E22" s="9"/>
      <c r="F22" s="766"/>
      <c r="G22" s="766"/>
      <c r="H22" s="766"/>
    </row>
    <row r="23" spans="3:8">
      <c r="C23" s="10" t="s">
        <v>954</v>
      </c>
      <c r="D23" s="49"/>
      <c r="E23" s="9"/>
      <c r="F23" s="766"/>
      <c r="G23" s="766"/>
      <c r="H23" s="766"/>
    </row>
    <row r="24" spans="3:8">
      <c r="C24" s="10" t="s">
        <v>955</v>
      </c>
      <c r="D24" s="49"/>
      <c r="E24" s="9"/>
      <c r="F24" s="766"/>
      <c r="G24" s="766"/>
      <c r="H24" s="766"/>
    </row>
    <row r="25" spans="3:8">
      <c r="C25" s="10" t="s">
        <v>956</v>
      </c>
      <c r="D25" s="49"/>
      <c r="E25" s="9"/>
      <c r="F25" s="766"/>
      <c r="G25" s="766"/>
      <c r="H25" s="766"/>
    </row>
    <row r="26" spans="3:8" s="59" customFormat="1" ht="27.75" customHeight="1">
      <c r="C26" s="946" t="s">
        <v>957</v>
      </c>
      <c r="D26" s="947"/>
      <c r="E26" s="948"/>
      <c r="F26" s="766"/>
      <c r="G26" s="766"/>
      <c r="H26" s="766"/>
    </row>
    <row r="27" spans="3:8" s="59" customFormat="1">
      <c r="C27" s="10" t="s">
        <v>958</v>
      </c>
      <c r="D27" s="49"/>
      <c r="E27" s="9"/>
      <c r="F27" s="194">
        <v>1.6500000000000001E-2</v>
      </c>
      <c r="G27" s="5">
        <v>1.6500000000000001E-2</v>
      </c>
      <c r="H27" s="5">
        <f>G27*0.8</f>
        <v>1.3200000000000002E-2</v>
      </c>
    </row>
    <row r="28" spans="3:8" s="59" customFormat="1">
      <c r="C28" s="10" t="s">
        <v>959</v>
      </c>
      <c r="D28" s="49"/>
      <c r="E28" s="9"/>
      <c r="F28" s="194">
        <v>7.5999999999999998E-2</v>
      </c>
      <c r="G28" s="5">
        <v>7.5999999999999998E-2</v>
      </c>
      <c r="H28" s="5">
        <f>G28*0.8</f>
        <v>6.08E-2</v>
      </c>
    </row>
    <row r="29" spans="3:8" s="37" customFormat="1" ht="15" customHeight="1" thickBot="1">
      <c r="C29" s="946" t="s">
        <v>960</v>
      </c>
      <c r="D29" s="947"/>
      <c r="E29" s="948"/>
      <c r="F29" s="195">
        <v>0.02</v>
      </c>
      <c r="G29" s="5">
        <v>0.02</v>
      </c>
      <c r="H29" s="5">
        <f>G29</f>
        <v>0.02</v>
      </c>
    </row>
    <row r="30" spans="3:8" s="59" customFormat="1" ht="15.75" thickBot="1">
      <c r="C30" s="196" t="s">
        <v>961</v>
      </c>
      <c r="D30" s="197"/>
      <c r="E30" s="198"/>
      <c r="F30" s="199"/>
      <c r="G30" s="200">
        <f>(1/(1-H27-H28-H29))-1</f>
        <v>0.10375275938189832</v>
      </c>
      <c r="H30" s="766"/>
    </row>
    <row r="32" spans="3:8">
      <c r="C32" s="766" t="s">
        <v>962</v>
      </c>
      <c r="D32" s="766"/>
      <c r="E32" s="766"/>
      <c r="F32" s="766"/>
      <c r="G32" s="766"/>
      <c r="H32" s="766"/>
    </row>
    <row r="33" spans="3:5" ht="31.5" customHeight="1">
      <c r="C33" s="941" t="s">
        <v>963</v>
      </c>
      <c r="D33" s="941"/>
      <c r="E33" s="941"/>
    </row>
    <row r="34" spans="3:5" ht="45" customHeight="1">
      <c r="C34" s="942" t="s">
        <v>964</v>
      </c>
      <c r="D34" s="942"/>
      <c r="E34" s="942"/>
    </row>
  </sheetData>
  <mergeCells count="6">
    <mergeCell ref="C2:E3"/>
    <mergeCell ref="C33:E33"/>
    <mergeCell ref="C34:E34"/>
    <mergeCell ref="C13:E13"/>
    <mergeCell ref="C26:E26"/>
    <mergeCell ref="C29:E29"/>
  </mergeCells>
  <printOptions horizontalCentered="1"/>
  <pageMargins left="0.51181102362204722" right="0.51181102362204722" top="0.39370078740157483" bottom="0.78740157480314965" header="0.31496062992125984" footer="0.31496062992125984"/>
  <pageSetup paperSize="9" scale="91" orientation="portrait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5"/>
  <sheetViews>
    <sheetView workbookViewId="0">
      <selection activeCell="E16" sqref="E16"/>
    </sheetView>
  </sheetViews>
  <sheetFormatPr defaultRowHeight="15"/>
  <cols>
    <col min="1" max="1" width="23.42578125" customWidth="1"/>
    <col min="2" max="2" width="48.42578125" customWidth="1"/>
    <col min="3" max="3" width="24.42578125" customWidth="1"/>
    <col min="5" max="5" width="28.5703125" customWidth="1"/>
    <col min="6" max="6" width="25.7109375" customWidth="1"/>
  </cols>
  <sheetData>
    <row r="1" spans="1:10">
      <c r="A1" s="752"/>
      <c r="B1" s="753"/>
      <c r="C1" s="753"/>
      <c r="D1" s="754"/>
      <c r="E1" s="755"/>
      <c r="F1" s="756"/>
      <c r="G1" s="766"/>
      <c r="H1" s="766"/>
      <c r="I1" s="766"/>
      <c r="J1" s="766"/>
    </row>
    <row r="2" spans="1:10">
      <c r="A2" s="949" t="s">
        <v>965</v>
      </c>
      <c r="B2" s="950"/>
      <c r="C2" s="950"/>
      <c r="D2" s="950"/>
      <c r="E2" s="950"/>
      <c r="F2" s="951"/>
      <c r="G2" s="766"/>
      <c r="H2" s="766"/>
      <c r="I2" s="766"/>
      <c r="J2" s="766"/>
    </row>
    <row r="3" spans="1:10">
      <c r="A3" s="949"/>
      <c r="B3" s="950"/>
      <c r="C3" s="950"/>
      <c r="D3" s="950"/>
      <c r="E3" s="950"/>
      <c r="F3" s="951"/>
      <c r="G3" s="766"/>
      <c r="H3" s="766"/>
      <c r="I3" s="766"/>
      <c r="J3" s="766"/>
    </row>
    <row r="4" spans="1:10" ht="15.75" thickBot="1">
      <c r="A4" s="757"/>
      <c r="B4" s="758"/>
      <c r="C4" s="758"/>
      <c r="D4" s="759"/>
      <c r="E4" s="760"/>
      <c r="F4" s="761"/>
      <c r="G4" s="766"/>
      <c r="H4" s="766"/>
      <c r="I4" s="766"/>
      <c r="J4" s="766"/>
    </row>
    <row r="5" spans="1:10" ht="15.75" thickBot="1">
      <c r="A5" s="955" t="s">
        <v>966</v>
      </c>
      <c r="B5" s="956"/>
      <c r="C5" s="956"/>
      <c r="D5" s="956"/>
      <c r="E5" s="956"/>
      <c r="F5" s="957"/>
      <c r="G5" s="766"/>
      <c r="H5" s="766"/>
      <c r="I5" s="766"/>
      <c r="J5" s="766"/>
    </row>
    <row r="6" spans="1:10" ht="15.75" thickBot="1">
      <c r="A6" s="748" t="s">
        <v>3</v>
      </c>
      <c r="B6" s="749"/>
      <c r="C6" s="750"/>
      <c r="D6" s="750"/>
      <c r="E6" s="751"/>
      <c r="F6" s="747"/>
      <c r="G6" s="766"/>
      <c r="H6" s="766"/>
      <c r="I6" s="766"/>
      <c r="J6" s="766"/>
    </row>
    <row r="7" spans="1:10" ht="15.75" thickBot="1">
      <c r="A7" s="955" t="s">
        <v>967</v>
      </c>
      <c r="B7" s="956"/>
      <c r="C7" s="956"/>
      <c r="D7" s="956"/>
      <c r="E7" s="956"/>
      <c r="F7" s="957"/>
      <c r="G7" s="766"/>
      <c r="H7" s="766"/>
      <c r="I7" s="766"/>
      <c r="J7" s="766"/>
    </row>
    <row r="8" spans="1:10">
      <c r="A8" s="952"/>
      <c r="B8" s="953"/>
      <c r="C8" s="953"/>
      <c r="D8" s="953"/>
      <c r="E8" s="953"/>
      <c r="F8" s="954"/>
      <c r="G8" s="766"/>
      <c r="H8" s="766"/>
      <c r="I8" s="766"/>
      <c r="J8" s="766"/>
    </row>
    <row r="9" spans="1:10">
      <c r="A9" s="736" t="s">
        <v>19</v>
      </c>
      <c r="B9" s="737" t="s">
        <v>968</v>
      </c>
      <c r="C9" s="731" t="s">
        <v>969</v>
      </c>
      <c r="D9" s="738" t="s">
        <v>970</v>
      </c>
      <c r="E9" s="739" t="s">
        <v>971</v>
      </c>
      <c r="F9" s="732" t="s">
        <v>972</v>
      </c>
      <c r="G9" s="766"/>
      <c r="H9" s="766"/>
      <c r="I9" s="766"/>
      <c r="J9" s="766"/>
    </row>
    <row r="10" spans="1:10">
      <c r="A10" s="733" t="s">
        <v>973</v>
      </c>
      <c r="B10" s="729" t="s">
        <v>8</v>
      </c>
      <c r="C10" s="730"/>
      <c r="D10" s="738"/>
      <c r="E10" s="740"/>
      <c r="F10" s="734"/>
      <c r="G10" s="766"/>
      <c r="H10" s="766"/>
      <c r="I10" s="766"/>
      <c r="J10" s="766"/>
    </row>
    <row r="11" spans="1:10">
      <c r="A11" s="722" t="s">
        <v>974</v>
      </c>
      <c r="B11" s="725" t="s">
        <v>975</v>
      </c>
      <c r="C11" s="723" t="s">
        <v>913</v>
      </c>
      <c r="D11" s="721">
        <v>8</v>
      </c>
      <c r="E11" s="718">
        <f>'Pesquisa de Mercado'!$V$3</f>
        <v>2.99</v>
      </c>
      <c r="F11" s="720">
        <f>D11*E11</f>
        <v>23.92</v>
      </c>
      <c r="G11" s="766"/>
      <c r="H11" s="766"/>
      <c r="I11" s="766"/>
      <c r="J11" s="745"/>
    </row>
    <row r="12" spans="1:10">
      <c r="A12" s="724" t="s">
        <v>974</v>
      </c>
      <c r="B12" s="726" t="s">
        <v>976</v>
      </c>
      <c r="C12" s="723" t="s">
        <v>913</v>
      </c>
      <c r="D12" s="715">
        <v>200</v>
      </c>
      <c r="E12" s="718">
        <f>'Pesquisa de Mercado'!$V$4</f>
        <v>0.15</v>
      </c>
      <c r="F12" s="720">
        <f>D12*E12</f>
        <v>30</v>
      </c>
      <c r="G12" s="766"/>
      <c r="H12" s="766"/>
      <c r="I12" s="766"/>
      <c r="J12" s="766"/>
    </row>
    <row r="13" spans="1:10">
      <c r="A13" s="722" t="s">
        <v>974</v>
      </c>
      <c r="B13" s="727" t="s">
        <v>977</v>
      </c>
      <c r="C13" s="723" t="s">
        <v>913</v>
      </c>
      <c r="D13" s="715">
        <v>50</v>
      </c>
      <c r="E13" s="718">
        <f>'Pesquisa de Mercado'!$V$5</f>
        <v>4.1900000000000004</v>
      </c>
      <c r="F13" s="720">
        <f>D13*E13</f>
        <v>209.50000000000003</v>
      </c>
      <c r="G13" s="766"/>
      <c r="H13" s="766"/>
      <c r="I13" s="766"/>
      <c r="J13" s="766"/>
    </row>
    <row r="14" spans="1:10">
      <c r="A14" s="746" t="s">
        <v>978</v>
      </c>
      <c r="B14" s="714" t="s">
        <v>979</v>
      </c>
      <c r="C14" s="723" t="s">
        <v>913</v>
      </c>
      <c r="D14" s="715">
        <v>1</v>
      </c>
      <c r="E14" s="718">
        <v>233.94</v>
      </c>
      <c r="F14" s="720">
        <f>D14*E14</f>
        <v>233.94</v>
      </c>
      <c r="G14" s="766"/>
      <c r="H14" s="766"/>
      <c r="I14" s="766"/>
      <c r="J14" s="766"/>
    </row>
    <row r="15" spans="1:10">
      <c r="A15" s="746" t="s">
        <v>978</v>
      </c>
      <c r="B15" s="714" t="s">
        <v>980</v>
      </c>
      <c r="C15" s="717" t="s">
        <v>913</v>
      </c>
      <c r="D15" s="715">
        <v>7</v>
      </c>
      <c r="E15" s="719">
        <v>85.96</v>
      </c>
      <c r="F15" s="720">
        <f>D15*E15</f>
        <v>601.71999999999991</v>
      </c>
      <c r="G15" s="766"/>
      <c r="H15" s="766"/>
      <c r="I15" s="766"/>
      <c r="J15" s="766"/>
    </row>
    <row r="16" spans="1:10">
      <c r="A16" s="741" t="s">
        <v>981</v>
      </c>
      <c r="B16" s="742"/>
      <c r="C16" s="742"/>
      <c r="D16" s="742"/>
      <c r="E16" s="743"/>
      <c r="F16" s="735">
        <f>SUM(F11:F15)</f>
        <v>1099.08</v>
      </c>
      <c r="G16" s="766"/>
      <c r="H16" s="766"/>
      <c r="I16" s="766"/>
      <c r="J16" s="766"/>
    </row>
    <row r="17" spans="1:10">
      <c r="A17" s="733" t="s">
        <v>67</v>
      </c>
      <c r="B17" s="729" t="s">
        <v>9</v>
      </c>
      <c r="C17" s="730"/>
      <c r="D17" s="738"/>
      <c r="E17" s="740"/>
      <c r="F17" s="734"/>
      <c r="G17" s="766"/>
      <c r="H17" s="766"/>
      <c r="I17" s="766"/>
      <c r="J17" s="766"/>
    </row>
    <row r="18" spans="1:10">
      <c r="A18" s="722" t="s">
        <v>974</v>
      </c>
      <c r="B18" s="725" t="s">
        <v>975</v>
      </c>
      <c r="C18" s="723" t="s">
        <v>913</v>
      </c>
      <c r="D18" s="721">
        <v>10</v>
      </c>
      <c r="E18" s="718">
        <f>'Pesquisa de Mercado'!$V$3</f>
        <v>2.99</v>
      </c>
      <c r="F18" s="720">
        <f>D18*E18</f>
        <v>29.900000000000002</v>
      </c>
      <c r="G18" s="766"/>
      <c r="H18" s="766"/>
      <c r="I18" s="766"/>
      <c r="J18" s="745"/>
    </row>
    <row r="19" spans="1:10">
      <c r="A19" s="724" t="s">
        <v>974</v>
      </c>
      <c r="B19" s="726" t="s">
        <v>976</v>
      </c>
      <c r="C19" s="723" t="s">
        <v>913</v>
      </c>
      <c r="D19" s="715">
        <v>200</v>
      </c>
      <c r="E19" s="718">
        <f>'Pesquisa de Mercado'!$V$4</f>
        <v>0.15</v>
      </c>
      <c r="F19" s="720">
        <f>D19*E19</f>
        <v>30</v>
      </c>
      <c r="G19" s="766"/>
      <c r="H19" s="766"/>
      <c r="I19" s="766"/>
      <c r="J19" s="766"/>
    </row>
    <row r="20" spans="1:10">
      <c r="A20" s="722" t="s">
        <v>974</v>
      </c>
      <c r="B20" s="727" t="s">
        <v>977</v>
      </c>
      <c r="C20" s="723" t="s">
        <v>913</v>
      </c>
      <c r="D20" s="715">
        <v>250</v>
      </c>
      <c r="E20" s="718">
        <f>'Pesquisa de Mercado'!$V$5</f>
        <v>4.1900000000000004</v>
      </c>
      <c r="F20" s="720">
        <f>D20*E20</f>
        <v>1047.5</v>
      </c>
      <c r="G20" s="766"/>
      <c r="H20" s="766"/>
      <c r="I20" s="766"/>
      <c r="J20" s="766"/>
    </row>
    <row r="21" spans="1:10">
      <c r="A21" s="741" t="s">
        <v>981</v>
      </c>
      <c r="B21" s="742"/>
      <c r="C21" s="742"/>
      <c r="D21" s="742"/>
      <c r="E21" s="743"/>
      <c r="F21" s="735">
        <f>SUM(F18:F20)</f>
        <v>1107.4000000000001</v>
      </c>
      <c r="G21" s="766"/>
      <c r="H21" s="766"/>
      <c r="I21" s="766"/>
      <c r="J21" s="766"/>
    </row>
    <row r="22" spans="1:10">
      <c r="A22" s="733" t="s">
        <v>295</v>
      </c>
      <c r="B22" s="728" t="s">
        <v>296</v>
      </c>
      <c r="C22" s="730"/>
      <c r="D22" s="738"/>
      <c r="E22" s="740"/>
      <c r="F22" s="734"/>
      <c r="G22" s="766"/>
      <c r="H22" s="766"/>
      <c r="I22" s="766"/>
      <c r="J22" s="766"/>
    </row>
    <row r="23" spans="1:10">
      <c r="A23" s="722" t="s">
        <v>974</v>
      </c>
      <c r="B23" s="725" t="s">
        <v>975</v>
      </c>
      <c r="C23" s="723" t="s">
        <v>913</v>
      </c>
      <c r="D23" s="721">
        <v>30</v>
      </c>
      <c r="E23" s="718">
        <f>'Pesquisa de Mercado'!$V$3</f>
        <v>2.99</v>
      </c>
      <c r="F23" s="720">
        <f>D23*E23</f>
        <v>89.7</v>
      </c>
      <c r="G23" s="766"/>
      <c r="H23" s="766"/>
      <c r="I23" s="766"/>
      <c r="J23" s="766"/>
    </row>
    <row r="24" spans="1:10">
      <c r="A24" s="724" t="s">
        <v>974</v>
      </c>
      <c r="B24" s="726" t="s">
        <v>976</v>
      </c>
      <c r="C24" s="723" t="s">
        <v>913</v>
      </c>
      <c r="D24" s="715">
        <v>600</v>
      </c>
      <c r="E24" s="718">
        <f>'Pesquisa de Mercado'!$V$4</f>
        <v>0.15</v>
      </c>
      <c r="F24" s="720">
        <f>D24*E24</f>
        <v>90</v>
      </c>
      <c r="G24" s="766"/>
      <c r="H24" s="766"/>
      <c r="I24" s="766"/>
      <c r="J24" s="766"/>
    </row>
    <row r="25" spans="1:10">
      <c r="A25" s="722" t="s">
        <v>974</v>
      </c>
      <c r="B25" s="727" t="s">
        <v>977</v>
      </c>
      <c r="C25" s="723" t="s">
        <v>913</v>
      </c>
      <c r="D25" s="715">
        <v>1000</v>
      </c>
      <c r="E25" s="718">
        <f>'Pesquisa de Mercado'!$V$5</f>
        <v>4.1900000000000004</v>
      </c>
      <c r="F25" s="720">
        <f>D25*E25</f>
        <v>4190</v>
      </c>
      <c r="G25" s="766"/>
      <c r="H25" s="766"/>
      <c r="I25" s="766"/>
      <c r="J25" s="766"/>
    </row>
    <row r="26" spans="1:10">
      <c r="A26" s="741" t="s">
        <v>981</v>
      </c>
      <c r="B26" s="742"/>
      <c r="C26" s="742"/>
      <c r="D26" s="742"/>
      <c r="E26" s="743"/>
      <c r="F26" s="735">
        <f>SUM(F23:F25)</f>
        <v>4369.7</v>
      </c>
      <c r="G26" s="766"/>
      <c r="H26" s="766"/>
      <c r="I26" s="766"/>
      <c r="J26" s="766"/>
    </row>
    <row r="27" spans="1:10">
      <c r="A27" s="733" t="s">
        <v>573</v>
      </c>
      <c r="B27" s="728" t="s">
        <v>12</v>
      </c>
      <c r="C27" s="730"/>
      <c r="D27" s="738"/>
      <c r="E27" s="740"/>
      <c r="F27" s="734"/>
      <c r="G27" s="766"/>
      <c r="H27" s="766"/>
      <c r="I27" s="766"/>
      <c r="J27" s="766"/>
    </row>
    <row r="28" spans="1:10">
      <c r="A28" s="722" t="s">
        <v>974</v>
      </c>
      <c r="B28" s="725" t="s">
        <v>975</v>
      </c>
      <c r="C28" s="723" t="s">
        <v>913</v>
      </c>
      <c r="D28" s="721">
        <v>35</v>
      </c>
      <c r="E28" s="718">
        <f>'Pesquisa de Mercado'!$V$3</f>
        <v>2.99</v>
      </c>
      <c r="F28" s="720">
        <f>D28*E28</f>
        <v>104.65</v>
      </c>
      <c r="G28" s="766"/>
      <c r="H28" s="766"/>
      <c r="I28" s="766"/>
      <c r="J28" s="766"/>
    </row>
    <row r="29" spans="1:10">
      <c r="A29" s="724" t="s">
        <v>974</v>
      </c>
      <c r="B29" s="726" t="s">
        <v>976</v>
      </c>
      <c r="C29" s="723" t="s">
        <v>913</v>
      </c>
      <c r="D29" s="715">
        <v>800</v>
      </c>
      <c r="E29" s="718">
        <f>'Pesquisa de Mercado'!$V$4</f>
        <v>0.15</v>
      </c>
      <c r="F29" s="720">
        <f>D29*E29</f>
        <v>120</v>
      </c>
      <c r="G29" s="766"/>
      <c r="H29" s="766"/>
      <c r="I29" s="766"/>
      <c r="J29" s="766"/>
    </row>
    <row r="30" spans="1:10">
      <c r="A30" s="722" t="s">
        <v>974</v>
      </c>
      <c r="B30" s="727" t="s">
        <v>977</v>
      </c>
      <c r="C30" s="723" t="s">
        <v>913</v>
      </c>
      <c r="D30" s="715">
        <v>1500</v>
      </c>
      <c r="E30" s="718">
        <f>'Pesquisa de Mercado'!$V$5</f>
        <v>4.1900000000000004</v>
      </c>
      <c r="F30" s="720">
        <f>D30*E30</f>
        <v>6285.0000000000009</v>
      </c>
      <c r="G30" s="766"/>
      <c r="H30" s="766"/>
      <c r="I30" s="766"/>
      <c r="J30" s="766"/>
    </row>
    <row r="31" spans="1:10">
      <c r="A31" s="741" t="s">
        <v>981</v>
      </c>
      <c r="B31" s="742"/>
      <c r="C31" s="742"/>
      <c r="D31" s="742"/>
      <c r="E31" s="743"/>
      <c r="F31" s="735">
        <f>SUM(F28:F30)</f>
        <v>6509.6500000000005</v>
      </c>
      <c r="G31" s="766"/>
      <c r="H31" s="766"/>
      <c r="I31" s="766"/>
      <c r="J31" s="766"/>
    </row>
    <row r="32" spans="1:10">
      <c r="A32" s="733" t="s">
        <v>850</v>
      </c>
      <c r="B32" s="728" t="s">
        <v>13</v>
      </c>
      <c r="C32" s="730"/>
      <c r="D32" s="738"/>
      <c r="E32" s="740"/>
      <c r="F32" s="734"/>
      <c r="G32" s="766"/>
      <c r="H32" s="766"/>
      <c r="I32" s="766"/>
      <c r="J32" s="766"/>
    </row>
    <row r="33" spans="1:7">
      <c r="A33" s="722" t="s">
        <v>974</v>
      </c>
      <c r="B33" s="725" t="s">
        <v>975</v>
      </c>
      <c r="C33" s="723" t="s">
        <v>913</v>
      </c>
      <c r="D33" s="721">
        <v>10</v>
      </c>
      <c r="E33" s="718">
        <f>'Pesquisa de Mercado'!$V$3</f>
        <v>2.99</v>
      </c>
      <c r="F33" s="720">
        <f>D33*E33</f>
        <v>29.900000000000002</v>
      </c>
      <c r="G33" s="766"/>
    </row>
    <row r="34" spans="1:7" s="766" customFormat="1">
      <c r="A34" s="724" t="s">
        <v>974</v>
      </c>
      <c r="B34" s="726" t="s">
        <v>982</v>
      </c>
      <c r="C34" s="723" t="s">
        <v>913</v>
      </c>
      <c r="D34" s="715">
        <v>200</v>
      </c>
      <c r="E34" s="718">
        <f>'Pesquisa de Mercado'!$V$4</f>
        <v>0.15</v>
      </c>
      <c r="F34" s="720">
        <f>D34*E34</f>
        <v>30</v>
      </c>
    </row>
    <row r="35" spans="1:7">
      <c r="A35" s="724" t="s">
        <v>974</v>
      </c>
      <c r="B35" s="727" t="s">
        <v>977</v>
      </c>
      <c r="C35" s="723" t="s">
        <v>913</v>
      </c>
      <c r="D35" s="715">
        <v>250</v>
      </c>
      <c r="E35" s="718">
        <f>'Pesquisa de Mercado'!$V$5</f>
        <v>4.1900000000000004</v>
      </c>
      <c r="F35" s="720">
        <f>D35*E35</f>
        <v>1047.5</v>
      </c>
      <c r="G35" s="766"/>
    </row>
    <row r="36" spans="1:7">
      <c r="A36" s="741" t="s">
        <v>981</v>
      </c>
      <c r="B36" s="742"/>
      <c r="C36" s="742"/>
      <c r="D36" s="742"/>
      <c r="E36" s="743"/>
      <c r="F36" s="735">
        <f>SUM(F33:F35)</f>
        <v>1107.4000000000001</v>
      </c>
      <c r="G36" s="766"/>
    </row>
    <row r="37" spans="1:7">
      <c r="A37" s="746"/>
      <c r="B37" s="765"/>
      <c r="C37" s="764"/>
      <c r="D37" s="763"/>
      <c r="E37" s="762"/>
      <c r="F37" s="720"/>
      <c r="G37" s="766"/>
    </row>
    <row r="38" spans="1:7">
      <c r="A38" s="741" t="s">
        <v>983</v>
      </c>
      <c r="B38" s="742"/>
      <c r="C38" s="742"/>
      <c r="D38" s="742"/>
      <c r="E38" s="743"/>
      <c r="F38" s="735">
        <f>F16+F21+F26+F31+F36</f>
        <v>14193.230000000001</v>
      </c>
      <c r="G38" s="766"/>
    </row>
    <row r="40" spans="1:7" ht="15.75" thickBot="1">
      <c r="A40" s="766"/>
      <c r="B40" s="766"/>
      <c r="C40" s="766"/>
      <c r="D40" s="766"/>
      <c r="E40" s="766"/>
      <c r="F40" s="766"/>
      <c r="G40" s="766"/>
    </row>
    <row r="41" spans="1:7" ht="15.75" thickBot="1">
      <c r="A41" s="766"/>
      <c r="B41" s="766"/>
      <c r="C41" s="766"/>
      <c r="D41" s="766"/>
      <c r="E41" s="766"/>
      <c r="F41" s="766"/>
      <c r="G41" s="744"/>
    </row>
    <row r="42" spans="1:7">
      <c r="A42" s="716"/>
      <c r="B42" s="716"/>
      <c r="C42" s="766"/>
      <c r="D42" s="766"/>
      <c r="E42" s="766"/>
      <c r="F42" s="766"/>
      <c r="G42" s="766"/>
    </row>
    <row r="43" spans="1:7">
      <c r="A43" s="716"/>
      <c r="B43" s="716"/>
      <c r="C43" s="766"/>
      <c r="D43" s="766"/>
      <c r="E43" s="766"/>
      <c r="F43" s="766"/>
      <c r="G43" s="766"/>
    </row>
    <row r="44" spans="1:7">
      <c r="A44" s="716"/>
      <c r="B44" s="716"/>
      <c r="C44" s="766"/>
      <c r="D44" s="766"/>
      <c r="E44" s="766"/>
      <c r="F44" s="766"/>
      <c r="G44" s="766"/>
    </row>
    <row r="45" spans="1:7">
      <c r="A45" s="716"/>
      <c r="B45" s="716"/>
      <c r="C45" s="766"/>
      <c r="D45" s="766"/>
      <c r="E45" s="766"/>
      <c r="F45" s="766"/>
      <c r="G45" s="766"/>
    </row>
  </sheetData>
  <mergeCells count="4">
    <mergeCell ref="A2:F3"/>
    <mergeCell ref="A8:F8"/>
    <mergeCell ref="A5:F5"/>
    <mergeCell ref="A7:F7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C2:AE37"/>
  <sheetViews>
    <sheetView zoomScale="85" zoomScaleNormal="85" workbookViewId="0">
      <selection activeCell="W20" sqref="W20"/>
    </sheetView>
  </sheetViews>
  <sheetFormatPr defaultRowHeight="15"/>
  <cols>
    <col min="3" max="3" width="27.7109375" customWidth="1"/>
    <col min="4" max="4" width="25.28515625" customWidth="1"/>
    <col min="5" max="5" width="12.7109375" style="59" customWidth="1"/>
    <col min="6" max="6" width="16" style="766" customWidth="1"/>
    <col min="7" max="9" width="12.85546875" customWidth="1"/>
    <col min="10" max="10" width="12.85546875" style="59" customWidth="1"/>
    <col min="11" max="13" width="12.85546875" customWidth="1"/>
    <col min="14" max="14" width="12.85546875" style="59" customWidth="1"/>
    <col min="15" max="17" width="12.85546875" customWidth="1"/>
    <col min="18" max="25" width="12.85546875" style="59" customWidth="1"/>
    <col min="26" max="26" width="14.140625" style="59" bestFit="1" customWidth="1"/>
    <col min="27" max="29" width="12.85546875" style="47" customWidth="1"/>
    <col min="30" max="30" width="12.85546875" style="59" customWidth="1"/>
    <col min="31" max="31" width="14.42578125" customWidth="1"/>
  </cols>
  <sheetData>
    <row r="2" spans="3:30" ht="21">
      <c r="C2" s="928" t="s">
        <v>984</v>
      </c>
      <c r="D2" s="928"/>
      <c r="E2" s="928"/>
      <c r="F2" s="928"/>
      <c r="G2" s="928"/>
      <c r="H2" s="928"/>
      <c r="I2" s="928"/>
      <c r="J2" s="928"/>
      <c r="K2" s="928"/>
      <c r="L2" s="928"/>
      <c r="M2" s="928"/>
      <c r="N2" s="928"/>
      <c r="O2" s="928"/>
      <c r="P2" s="928"/>
      <c r="Q2" s="928"/>
      <c r="R2" s="928"/>
      <c r="S2" s="928"/>
      <c r="T2" s="928"/>
      <c r="U2" s="928"/>
      <c r="V2" s="928"/>
      <c r="W2" s="928"/>
      <c r="X2" s="928"/>
      <c r="Y2" s="928"/>
      <c r="Z2" s="928"/>
      <c r="AA2" s="928"/>
      <c r="AB2" s="928"/>
      <c r="AC2" s="928"/>
      <c r="AD2" s="882"/>
    </row>
    <row r="3" spans="3:30" ht="21">
      <c r="C3" s="928"/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8"/>
      <c r="P3" s="928"/>
      <c r="Q3" s="928"/>
      <c r="R3" s="928"/>
      <c r="S3" s="928"/>
      <c r="T3" s="928"/>
      <c r="U3" s="928"/>
      <c r="V3" s="928"/>
      <c r="W3" s="928"/>
      <c r="X3" s="928"/>
      <c r="Y3" s="928"/>
      <c r="Z3" s="928"/>
      <c r="AA3" s="928"/>
      <c r="AB3" s="928"/>
      <c r="AC3" s="928"/>
      <c r="AD3" s="882"/>
    </row>
    <row r="4" spans="3:30" ht="15.75" thickBot="1">
      <c r="C4" s="766"/>
      <c r="D4" s="766"/>
      <c r="E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6"/>
      <c r="S4" s="766"/>
      <c r="T4" s="766"/>
      <c r="U4" s="766"/>
      <c r="V4" s="766"/>
      <c r="W4" s="766"/>
      <c r="X4" s="766"/>
      <c r="Y4" s="766"/>
      <c r="Z4" s="766"/>
      <c r="AA4" s="766"/>
      <c r="AB4" s="766"/>
      <c r="AC4" s="766"/>
      <c r="AD4" s="534"/>
    </row>
    <row r="5" spans="3:30">
      <c r="C5" s="12" t="s">
        <v>1</v>
      </c>
      <c r="D5" s="969" t="s">
        <v>985</v>
      </c>
      <c r="E5" s="969"/>
      <c r="F5" s="969"/>
      <c r="G5" s="969"/>
      <c r="H5" s="969"/>
      <c r="I5" s="16"/>
      <c r="J5" s="16"/>
      <c r="K5" s="99"/>
      <c r="L5" s="15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43"/>
    </row>
    <row r="6" spans="3:30">
      <c r="C6" s="14" t="s">
        <v>986</v>
      </c>
      <c r="D6" s="4" t="s">
        <v>987</v>
      </c>
      <c r="E6" s="19"/>
      <c r="F6" s="19"/>
      <c r="G6" s="4"/>
      <c r="H6" s="4"/>
      <c r="I6" s="18"/>
      <c r="J6" s="18"/>
      <c r="K6" s="4"/>
      <c r="L6" s="21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31"/>
    </row>
    <row r="7" spans="3:30" ht="15.75" thickBot="1">
      <c r="C7" s="100" t="s">
        <v>3</v>
      </c>
      <c r="D7" s="101"/>
      <c r="E7" s="101"/>
      <c r="F7" s="101"/>
      <c r="G7" s="101"/>
      <c r="H7" s="101"/>
      <c r="I7" s="101"/>
      <c r="J7" s="101"/>
      <c r="K7" s="101"/>
      <c r="L7" s="102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4"/>
    </row>
    <row r="8" spans="3:30">
      <c r="C8" s="970" t="s">
        <v>984</v>
      </c>
      <c r="D8" s="971"/>
      <c r="E8" s="971"/>
      <c r="F8" s="971"/>
      <c r="G8" s="971"/>
      <c r="H8" s="971"/>
      <c r="I8" s="971"/>
      <c r="J8" s="971"/>
      <c r="K8" s="971"/>
      <c r="L8" s="971"/>
      <c r="M8" s="971"/>
      <c r="N8" s="971"/>
      <c r="O8" s="971"/>
      <c r="P8" s="971"/>
      <c r="Q8" s="971"/>
      <c r="R8" s="971"/>
      <c r="S8" s="971"/>
      <c r="T8" s="971"/>
      <c r="U8" s="971"/>
      <c r="V8" s="971"/>
      <c r="W8" s="971"/>
      <c r="X8" s="971"/>
      <c r="Y8" s="971"/>
      <c r="Z8" s="971"/>
      <c r="AA8" s="971"/>
      <c r="AB8" s="971"/>
      <c r="AC8" s="972"/>
      <c r="AD8" s="887"/>
    </row>
    <row r="9" spans="3:30">
      <c r="C9" s="11" t="s">
        <v>4</v>
      </c>
      <c r="D9" s="28"/>
      <c r="E9" s="28">
        <f>AD24</f>
        <v>575</v>
      </c>
      <c r="F9" s="28"/>
      <c r="G9" s="29" t="s">
        <v>988</v>
      </c>
      <c r="H9" s="30"/>
      <c r="I9" s="38"/>
      <c r="J9" s="38"/>
      <c r="K9" s="38"/>
      <c r="L9" s="885"/>
      <c r="M9" s="38"/>
      <c r="N9" s="885"/>
      <c r="O9" s="885"/>
      <c r="P9" s="38"/>
      <c r="Q9" s="38"/>
      <c r="R9" s="885"/>
      <c r="S9" s="885"/>
      <c r="T9" s="38"/>
      <c r="U9" s="38"/>
      <c r="V9" s="885"/>
      <c r="W9" s="885"/>
      <c r="X9" s="885"/>
      <c r="Y9" s="885"/>
      <c r="Z9" s="885"/>
      <c r="AA9" s="885"/>
      <c r="AB9" s="885"/>
      <c r="AC9" s="885"/>
      <c r="AD9" s="44"/>
    </row>
    <row r="10" spans="3:30" ht="18" thickBot="1">
      <c r="C10" s="973"/>
      <c r="D10" s="974"/>
      <c r="E10" s="975" t="s">
        <v>989</v>
      </c>
      <c r="F10" s="976"/>
      <c r="G10" s="976"/>
      <c r="H10" s="976"/>
      <c r="I10" s="976"/>
      <c r="J10" s="976"/>
      <c r="K10" s="976"/>
      <c r="L10" s="976"/>
      <c r="M10" s="976"/>
      <c r="N10" s="976"/>
      <c r="O10" s="976"/>
      <c r="P10" s="976"/>
      <c r="Q10" s="976"/>
      <c r="R10" s="976"/>
      <c r="S10" s="976"/>
      <c r="T10" s="976"/>
      <c r="U10" s="976"/>
      <c r="V10" s="976"/>
      <c r="W10" s="976"/>
      <c r="X10" s="976"/>
      <c r="Y10" s="976"/>
      <c r="Z10" s="976"/>
      <c r="AA10" s="976"/>
      <c r="AB10" s="976"/>
      <c r="AC10" s="976"/>
      <c r="AD10" s="977"/>
    </row>
    <row r="11" spans="3:30">
      <c r="C11" s="980" t="s">
        <v>990</v>
      </c>
      <c r="D11" s="978" t="s">
        <v>968</v>
      </c>
      <c r="E11" s="953" t="s">
        <v>991</v>
      </c>
      <c r="F11" s="953"/>
      <c r="G11" s="953"/>
      <c r="H11" s="953"/>
      <c r="I11" s="953"/>
      <c r="J11" s="954"/>
      <c r="K11" s="952" t="s">
        <v>992</v>
      </c>
      <c r="L11" s="953"/>
      <c r="M11" s="953"/>
      <c r="N11" s="954"/>
      <c r="O11" s="952" t="s">
        <v>993</v>
      </c>
      <c r="P11" s="953"/>
      <c r="Q11" s="953"/>
      <c r="R11" s="954"/>
      <c r="S11" s="952" t="s">
        <v>994</v>
      </c>
      <c r="T11" s="953"/>
      <c r="U11" s="953"/>
      <c r="V11" s="954"/>
      <c r="W11" s="952" t="s">
        <v>995</v>
      </c>
      <c r="X11" s="953"/>
      <c r="Y11" s="953"/>
      <c r="Z11" s="954"/>
      <c r="AA11" s="952" t="s">
        <v>996</v>
      </c>
      <c r="AB11" s="953"/>
      <c r="AC11" s="953"/>
      <c r="AD11" s="954"/>
    </row>
    <row r="12" spans="3:30" ht="30">
      <c r="C12" s="981"/>
      <c r="D12" s="979"/>
      <c r="E12" s="109" t="s">
        <v>997</v>
      </c>
      <c r="F12" s="776" t="s">
        <v>998</v>
      </c>
      <c r="G12" s="110" t="s">
        <v>999</v>
      </c>
      <c r="H12" s="881" t="s">
        <v>1000</v>
      </c>
      <c r="I12" s="881" t="s">
        <v>1001</v>
      </c>
      <c r="J12" s="114" t="s">
        <v>1002</v>
      </c>
      <c r="K12" s="110" t="s">
        <v>999</v>
      </c>
      <c r="L12" s="881" t="s">
        <v>1000</v>
      </c>
      <c r="M12" s="881" t="s">
        <v>1001</v>
      </c>
      <c r="N12" s="114" t="s">
        <v>1002</v>
      </c>
      <c r="O12" s="110" t="s">
        <v>999</v>
      </c>
      <c r="P12" s="881" t="s">
        <v>1000</v>
      </c>
      <c r="Q12" s="111" t="s">
        <v>1001</v>
      </c>
      <c r="R12" s="114" t="s">
        <v>1002</v>
      </c>
      <c r="S12" s="110" t="s">
        <v>999</v>
      </c>
      <c r="T12" s="881" t="s">
        <v>1000</v>
      </c>
      <c r="U12" s="111" t="s">
        <v>1001</v>
      </c>
      <c r="V12" s="114" t="s">
        <v>1002</v>
      </c>
      <c r="W12" s="881" t="s">
        <v>999</v>
      </c>
      <c r="X12" s="111" t="s">
        <v>1000</v>
      </c>
      <c r="Y12" s="881" t="s">
        <v>1001</v>
      </c>
      <c r="Z12" s="114" t="s">
        <v>1002</v>
      </c>
      <c r="AA12" s="110" t="s">
        <v>999</v>
      </c>
      <c r="AB12" s="967" t="s">
        <v>1003</v>
      </c>
      <c r="AC12" s="968"/>
      <c r="AD12" s="114" t="s">
        <v>1002</v>
      </c>
    </row>
    <row r="13" spans="3:30" s="47" customFormat="1">
      <c r="C13" s="966">
        <v>1</v>
      </c>
      <c r="D13" s="964" t="s">
        <v>8</v>
      </c>
      <c r="E13" s="888">
        <v>1</v>
      </c>
      <c r="F13" s="777">
        <v>70</v>
      </c>
      <c r="G13" s="105">
        <v>65</v>
      </c>
      <c r="H13" s="355">
        <v>14</v>
      </c>
      <c r="I13" s="60">
        <v>7</v>
      </c>
      <c r="J13" s="357">
        <v>3</v>
      </c>
      <c r="K13" s="113"/>
      <c r="L13" s="60"/>
      <c r="M13" s="60"/>
      <c r="N13" s="115"/>
      <c r="O13" s="113"/>
      <c r="P13" s="60"/>
      <c r="Q13" s="60"/>
      <c r="R13" s="115"/>
      <c r="S13" s="113"/>
      <c r="T13" s="60"/>
      <c r="U13" s="60"/>
      <c r="V13" s="115"/>
      <c r="W13" s="113"/>
      <c r="X13" s="60"/>
      <c r="Y13" s="533"/>
      <c r="Z13" s="45"/>
      <c r="AA13" s="42"/>
      <c r="AB13" s="958"/>
      <c r="AC13" s="959"/>
      <c r="AD13" s="115"/>
    </row>
    <row r="14" spans="3:30" s="47" customFormat="1">
      <c r="C14" s="966"/>
      <c r="D14" s="964"/>
      <c r="E14" s="888"/>
      <c r="F14" s="777"/>
      <c r="G14" s="106"/>
      <c r="H14" s="40"/>
      <c r="I14" s="40"/>
      <c r="J14" s="116"/>
      <c r="K14" s="41"/>
      <c r="L14" s="40"/>
      <c r="M14" s="40"/>
      <c r="N14" s="116"/>
      <c r="O14" s="41"/>
      <c r="P14" s="40"/>
      <c r="Q14" s="40"/>
      <c r="R14" s="116"/>
      <c r="S14" s="41"/>
      <c r="T14" s="40"/>
      <c r="U14" s="40"/>
      <c r="V14" s="116"/>
      <c r="W14" s="41"/>
      <c r="X14" s="40"/>
      <c r="Y14" s="40"/>
      <c r="Z14" s="46"/>
      <c r="AA14" s="41"/>
      <c r="AB14" s="960"/>
      <c r="AC14" s="961"/>
      <c r="AD14" s="125"/>
    </row>
    <row r="15" spans="3:30">
      <c r="C15" s="966">
        <v>2</v>
      </c>
      <c r="D15" s="964" t="s">
        <v>9</v>
      </c>
      <c r="E15" s="888"/>
      <c r="F15" s="777"/>
      <c r="G15" s="107"/>
      <c r="H15" s="40"/>
      <c r="I15" s="40"/>
      <c r="J15" s="116"/>
      <c r="K15" s="41">
        <v>90</v>
      </c>
      <c r="L15" s="356">
        <v>21</v>
      </c>
      <c r="M15" s="40">
        <v>7</v>
      </c>
      <c r="N15" s="358">
        <v>3</v>
      </c>
      <c r="O15" s="41"/>
      <c r="P15" s="40"/>
      <c r="Q15" s="40"/>
      <c r="R15" s="116"/>
      <c r="S15" s="41"/>
      <c r="T15" s="40"/>
      <c r="U15" s="40"/>
      <c r="V15" s="116"/>
      <c r="W15" s="41"/>
      <c r="X15" s="40"/>
      <c r="Y15" s="40"/>
      <c r="Z15" s="46"/>
      <c r="AA15" s="41"/>
      <c r="AB15" s="960"/>
      <c r="AC15" s="961"/>
      <c r="AD15" s="116"/>
    </row>
    <row r="16" spans="3:30">
      <c r="C16" s="966"/>
      <c r="D16" s="964"/>
      <c r="E16" s="888"/>
      <c r="F16" s="777"/>
      <c r="G16" s="41"/>
      <c r="H16" s="40"/>
      <c r="I16" s="40"/>
      <c r="J16" s="116"/>
      <c r="K16" s="41"/>
      <c r="L16" s="40"/>
      <c r="M16" s="40"/>
      <c r="N16" s="116"/>
      <c r="O16" s="41"/>
      <c r="P16" s="40"/>
      <c r="Q16" s="40"/>
      <c r="R16" s="116"/>
      <c r="S16" s="41"/>
      <c r="T16" s="40"/>
      <c r="U16" s="40"/>
      <c r="V16" s="116"/>
      <c r="W16" s="41"/>
      <c r="X16" s="40"/>
      <c r="Y16" s="40"/>
      <c r="Z16" s="46"/>
      <c r="AA16" s="41"/>
      <c r="AB16" s="960"/>
      <c r="AC16" s="961"/>
      <c r="AD16" s="116"/>
    </row>
    <row r="17" spans="3:31">
      <c r="C17" s="966">
        <v>3</v>
      </c>
      <c r="D17" s="964" t="s">
        <v>296</v>
      </c>
      <c r="E17" s="888"/>
      <c r="F17" s="777"/>
      <c r="G17" s="41"/>
      <c r="H17" s="40"/>
      <c r="I17" s="40"/>
      <c r="J17" s="116"/>
      <c r="K17" s="107"/>
      <c r="L17" s="40"/>
      <c r="M17" s="40"/>
      <c r="N17" s="116"/>
      <c r="O17" s="41">
        <v>60</v>
      </c>
      <c r="P17" s="356">
        <v>21</v>
      </c>
      <c r="Q17" s="40">
        <v>7</v>
      </c>
      <c r="R17" s="358">
        <v>3</v>
      </c>
      <c r="S17" s="41">
        <v>65</v>
      </c>
      <c r="T17" s="356">
        <v>21</v>
      </c>
      <c r="U17" s="40">
        <v>7</v>
      </c>
      <c r="V17" s="358">
        <v>3</v>
      </c>
      <c r="W17" s="41"/>
      <c r="X17" s="40"/>
      <c r="Y17" s="40"/>
      <c r="Z17" s="46"/>
      <c r="AA17" s="41"/>
      <c r="AB17" s="960"/>
      <c r="AC17" s="961"/>
      <c r="AD17" s="116"/>
      <c r="AE17" s="766"/>
    </row>
    <row r="18" spans="3:31">
      <c r="C18" s="966"/>
      <c r="D18" s="964"/>
      <c r="E18" s="888"/>
      <c r="F18" s="777"/>
      <c r="G18" s="41"/>
      <c r="H18" s="40"/>
      <c r="I18" s="40"/>
      <c r="J18" s="116"/>
      <c r="K18" s="41"/>
      <c r="L18" s="40"/>
      <c r="M18" s="40"/>
      <c r="N18" s="116"/>
      <c r="O18" s="41"/>
      <c r="P18" s="40"/>
      <c r="Q18" s="40"/>
      <c r="R18" s="116"/>
      <c r="S18" s="41"/>
      <c r="T18" s="40"/>
      <c r="U18" s="40"/>
      <c r="V18" s="116"/>
      <c r="W18" s="41"/>
      <c r="X18" s="40"/>
      <c r="Y18" s="40"/>
      <c r="Z18" s="46"/>
      <c r="AA18" s="41"/>
      <c r="AB18" s="960"/>
      <c r="AC18" s="961"/>
      <c r="AD18" s="116"/>
      <c r="AE18" s="766"/>
    </row>
    <row r="19" spans="3:31">
      <c r="C19" s="966">
        <v>4</v>
      </c>
      <c r="D19" s="964" t="s">
        <v>12</v>
      </c>
      <c r="E19" s="888"/>
      <c r="F19" s="777"/>
      <c r="G19" s="41"/>
      <c r="H19" s="40"/>
      <c r="I19" s="40"/>
      <c r="J19" s="116"/>
      <c r="K19" s="41"/>
      <c r="L19" s="40"/>
      <c r="M19" s="40"/>
      <c r="N19" s="116"/>
      <c r="O19" s="107"/>
      <c r="P19" s="40"/>
      <c r="Q19" s="40"/>
      <c r="R19" s="116"/>
      <c r="S19" s="107"/>
      <c r="T19" s="40"/>
      <c r="U19" s="40"/>
      <c r="V19" s="116"/>
      <c r="W19" s="41">
        <v>80</v>
      </c>
      <c r="X19" s="356">
        <v>14</v>
      </c>
      <c r="Y19" s="40">
        <v>7</v>
      </c>
      <c r="Z19" s="359">
        <v>3</v>
      </c>
      <c r="AA19" s="41"/>
      <c r="AB19" s="960"/>
      <c r="AC19" s="961"/>
      <c r="AD19" s="116"/>
      <c r="AE19" s="766"/>
    </row>
    <row r="20" spans="3:31">
      <c r="C20" s="966"/>
      <c r="D20" s="964"/>
      <c r="E20" s="888"/>
      <c r="F20" s="777"/>
      <c r="G20" s="41"/>
      <c r="H20" s="40"/>
      <c r="I20" s="40"/>
      <c r="J20" s="116"/>
      <c r="K20" s="41"/>
      <c r="L20" s="40"/>
      <c r="M20" s="40"/>
      <c r="N20" s="116"/>
      <c r="O20" s="41"/>
      <c r="P20" s="40"/>
      <c r="Q20" s="40"/>
      <c r="R20" s="116"/>
      <c r="S20" s="41"/>
      <c r="T20" s="40"/>
      <c r="U20" s="40"/>
      <c r="V20" s="116"/>
      <c r="W20" s="41"/>
      <c r="X20" s="40"/>
      <c r="Y20" s="40"/>
      <c r="Z20" s="46"/>
      <c r="AA20" s="41"/>
      <c r="AB20" s="960"/>
      <c r="AC20" s="961"/>
      <c r="AD20" s="116"/>
      <c r="AE20" s="766"/>
    </row>
    <row r="21" spans="3:31" s="47" customFormat="1">
      <c r="C21" s="966">
        <v>5</v>
      </c>
      <c r="D21" s="964" t="s">
        <v>13</v>
      </c>
      <c r="E21" s="888"/>
      <c r="F21" s="777"/>
      <c r="G21" s="41"/>
      <c r="H21" s="40"/>
      <c r="I21" s="40"/>
      <c r="J21" s="116"/>
      <c r="K21" s="41"/>
      <c r="L21" s="40"/>
      <c r="M21" s="40"/>
      <c r="N21" s="116"/>
      <c r="O21" s="107"/>
      <c r="P21" s="40"/>
      <c r="Q21" s="40"/>
      <c r="R21" s="116"/>
      <c r="S21" s="107"/>
      <c r="T21" s="40"/>
      <c r="U21" s="40"/>
      <c r="V21" s="116"/>
      <c r="W21" s="41"/>
      <c r="X21" s="40"/>
      <c r="Y21" s="40"/>
      <c r="Z21" s="46"/>
      <c r="AA21" s="41">
        <v>2</v>
      </c>
      <c r="AB21" s="960"/>
      <c r="AC21" s="961"/>
      <c r="AD21" s="358">
        <v>1</v>
      </c>
      <c r="AE21" s="766"/>
    </row>
    <row r="22" spans="3:31" s="47" customFormat="1" ht="15.75" thickBot="1">
      <c r="C22" s="966"/>
      <c r="D22" s="965"/>
      <c r="E22" s="108"/>
      <c r="F22" s="778"/>
      <c r="G22" s="54"/>
      <c r="H22" s="52"/>
      <c r="I22" s="52"/>
      <c r="J22" s="117"/>
      <c r="K22" s="54"/>
      <c r="L22" s="52"/>
      <c r="M22" s="52"/>
      <c r="N22" s="118"/>
      <c r="O22" s="54"/>
      <c r="P22" s="52"/>
      <c r="Q22" s="52"/>
      <c r="R22" s="118"/>
      <c r="S22" s="54"/>
      <c r="T22" s="52"/>
      <c r="U22" s="52"/>
      <c r="V22" s="118"/>
      <c r="W22" s="54"/>
      <c r="X22" s="52"/>
      <c r="Y22" s="52"/>
      <c r="Z22" s="120"/>
      <c r="AA22" s="54"/>
      <c r="AB22" s="962"/>
      <c r="AC22" s="963"/>
      <c r="AD22" s="118"/>
      <c r="AE22" s="766"/>
    </row>
    <row r="23" spans="3:31" ht="15.75" thickBot="1">
      <c r="C23" s="17"/>
      <c r="D23" s="112"/>
      <c r="E23" s="63"/>
      <c r="F23" s="64"/>
      <c r="G23" s="132" t="s">
        <v>1004</v>
      </c>
      <c r="H23" s="65"/>
      <c r="I23" s="53"/>
      <c r="J23" s="53">
        <f>E13+G13+H13+I13+J13+F13</f>
        <v>160</v>
      </c>
      <c r="K23" s="64"/>
      <c r="L23" s="65"/>
      <c r="M23" s="66"/>
      <c r="N23" s="64">
        <f>K15+L15+M15+N15</f>
        <v>121</v>
      </c>
      <c r="O23" s="203"/>
      <c r="P23" s="204"/>
      <c r="Q23" s="43"/>
      <c r="R23" s="64">
        <f>O17+P17+Q17+R17</f>
        <v>91</v>
      </c>
      <c r="S23" s="203"/>
      <c r="T23" s="204"/>
      <c r="U23" s="43"/>
      <c r="V23" s="64">
        <f>S17+T17+U17+V17</f>
        <v>96</v>
      </c>
      <c r="W23" s="63"/>
      <c r="X23" s="64"/>
      <c r="Y23" s="66"/>
      <c r="Z23" s="64">
        <f>W19+X19+Y19+Z19</f>
        <v>104</v>
      </c>
      <c r="AA23" s="63"/>
      <c r="AB23" s="64"/>
      <c r="AC23" s="66"/>
      <c r="AD23" s="24">
        <f>AA21+AB21+AC21+AD21</f>
        <v>3</v>
      </c>
      <c r="AE23" s="766"/>
    </row>
    <row r="24" spans="3:31" ht="15.75" thickBot="1">
      <c r="C24" s="22"/>
      <c r="D24" s="31"/>
      <c r="E24" s="133"/>
      <c r="F24" s="23"/>
      <c r="G24" s="64" t="s">
        <v>1005</v>
      </c>
      <c r="H24" s="64"/>
      <c r="I24" s="56"/>
      <c r="J24" s="201">
        <f>J23</f>
        <v>160</v>
      </c>
      <c r="K24" s="64"/>
      <c r="L24" s="64"/>
      <c r="M24" s="64"/>
      <c r="N24" s="202">
        <f>J24+N23</f>
        <v>281</v>
      </c>
      <c r="O24" s="63"/>
      <c r="P24" s="65"/>
      <c r="Q24" s="205"/>
      <c r="R24" s="55">
        <f>N24+R23</f>
        <v>372</v>
      </c>
      <c r="S24" s="63"/>
      <c r="T24" s="65"/>
      <c r="U24" s="205"/>
      <c r="V24" s="205">
        <f>R24+V23</f>
        <v>468</v>
      </c>
      <c r="W24" s="64"/>
      <c r="X24" s="64"/>
      <c r="Y24" s="64"/>
      <c r="Z24" s="55">
        <f>V24+Z23</f>
        <v>572</v>
      </c>
      <c r="AA24" s="64"/>
      <c r="AB24" s="64"/>
      <c r="AC24" s="64"/>
      <c r="AD24" s="55">
        <f>Z24+AD23</f>
        <v>575</v>
      </c>
      <c r="AE24" s="766">
        <f>AD24/30</f>
        <v>19.166666666666668</v>
      </c>
    </row>
    <row r="25" spans="3:31" s="47" customFormat="1" ht="15.75" thickBot="1">
      <c r="C25" s="22"/>
      <c r="D25" s="31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27"/>
      <c r="Q25" s="62"/>
      <c r="R25" s="62"/>
      <c r="S25" s="62"/>
      <c r="T25" s="27"/>
      <c r="U25" s="62"/>
      <c r="V25" s="62"/>
      <c r="W25" s="62"/>
      <c r="X25" s="62"/>
      <c r="Y25" s="62"/>
      <c r="Z25" s="62"/>
      <c r="AA25" s="13"/>
      <c r="AB25" s="62"/>
      <c r="AC25" s="62"/>
      <c r="AD25" s="24"/>
      <c r="AE25" s="766"/>
    </row>
    <row r="26" spans="3:31" ht="15.75" thickBot="1">
      <c r="C26" s="26"/>
      <c r="D26" s="32" t="s">
        <v>1006</v>
      </c>
      <c r="E26" s="211"/>
      <c r="F26" s="772"/>
      <c r="G26" s="127"/>
      <c r="H26" s="128"/>
      <c r="I26" s="212"/>
      <c r="J26" s="208">
        <f>'ORÇAMENTO POR ESCOPO'!I31</f>
        <v>441324.79437946237</v>
      </c>
      <c r="K26" s="216"/>
      <c r="L26" s="126"/>
      <c r="M26" s="212"/>
      <c r="N26" s="208">
        <f>'ORÇAMENTO POR ESCOPO'!I254</f>
        <v>703910.53603919083</v>
      </c>
      <c r="O26" s="216"/>
      <c r="P26" s="126"/>
      <c r="Q26" s="212"/>
      <c r="R26" s="208">
        <f>'ORÇAMENTO POR ESCOPO'!I573*0.3</f>
        <v>666323.54427487974</v>
      </c>
      <c r="S26" s="216"/>
      <c r="T26" s="126"/>
      <c r="U26" s="212"/>
      <c r="V26" s="208">
        <f>'ORÇAMENTO POR ESCOPO'!I573*0.7</f>
        <v>1554754.936641386</v>
      </c>
      <c r="W26" s="216"/>
      <c r="X26" s="119"/>
      <c r="Y26" s="212"/>
      <c r="Z26" s="348">
        <f>'ORÇAMENTO POR ESCOPO'!I906</f>
        <v>1899453.0073467304</v>
      </c>
      <c r="AA26" s="216"/>
      <c r="AB26" s="119"/>
      <c r="AC26" s="212"/>
      <c r="AD26" s="349">
        <f>'ORÇAMENTO POR ESCOPO'!I917</f>
        <v>368328.72588714509</v>
      </c>
      <c r="AE26" s="351"/>
    </row>
    <row r="27" spans="3:31" ht="15.75" thickBot="1">
      <c r="C27" s="20"/>
      <c r="D27" s="33" t="s">
        <v>1007</v>
      </c>
      <c r="E27" s="213"/>
      <c r="F27" s="773"/>
      <c r="G27" s="131"/>
      <c r="H27" s="206"/>
      <c r="I27" s="122"/>
      <c r="J27" s="210">
        <f>J26/'ORÇAMENTO POR ESCOPO'!I919</f>
        <v>7.8331080985109408E-2</v>
      </c>
      <c r="K27" s="217"/>
      <c r="L27" s="103"/>
      <c r="M27" s="122"/>
      <c r="N27" s="210">
        <f>N26/'ORÇAMENTO POR ESCOPO'!I919</f>
        <v>0.12493762849260744</v>
      </c>
      <c r="O27" s="217"/>
      <c r="P27" s="103"/>
      <c r="Q27" s="122"/>
      <c r="R27" s="210">
        <f>R26/'ORÇAMENTO POR ESCOPO'!I919</f>
        <v>0.11826628409189975</v>
      </c>
      <c r="S27" s="217"/>
      <c r="T27" s="103"/>
      <c r="U27" s="122"/>
      <c r="V27" s="210">
        <f>V26/'ORÇAMENTO POR ESCOPO'!I919</f>
        <v>0.27595466288109943</v>
      </c>
      <c r="W27" s="217"/>
      <c r="X27" s="103"/>
      <c r="Y27" s="122"/>
      <c r="Z27" s="210">
        <f>Z26/'ORÇAMENTO POR ESCOPO'!I919</f>
        <v>0.33713539153197036</v>
      </c>
      <c r="AA27" s="217"/>
      <c r="AB27" s="103"/>
      <c r="AC27" s="122"/>
      <c r="AD27" s="221">
        <f>AD26/'ORÇAMENTO POR ESCOPO'!I919</f>
        <v>6.5374952017313567E-2</v>
      </c>
      <c r="AE27" s="350"/>
    </row>
    <row r="28" spans="3:31" ht="15.75" thickBot="1">
      <c r="C28" s="20"/>
      <c r="D28" s="34" t="s">
        <v>1008</v>
      </c>
      <c r="E28" s="214"/>
      <c r="F28" s="774"/>
      <c r="G28" s="121"/>
      <c r="H28" s="207"/>
      <c r="I28" s="123"/>
      <c r="J28" s="57">
        <f>J26</f>
        <v>441324.79437946237</v>
      </c>
      <c r="K28" s="218"/>
      <c r="L28" s="207"/>
      <c r="M28" s="123"/>
      <c r="N28" s="57">
        <f>J28+N26</f>
        <v>1145235.3304186533</v>
      </c>
      <c r="O28" s="218"/>
      <c r="P28" s="207"/>
      <c r="Q28" s="123"/>
      <c r="R28" s="209">
        <f>N28+R26</f>
        <v>1811558.8746935329</v>
      </c>
      <c r="S28" s="218"/>
      <c r="T28" s="207"/>
      <c r="U28" s="123"/>
      <c r="V28" s="209">
        <f>R28+V26</f>
        <v>3366313.8113349192</v>
      </c>
      <c r="W28" s="218"/>
      <c r="X28" s="121"/>
      <c r="Y28" s="123"/>
      <c r="Z28" s="57">
        <f>V28+Z26</f>
        <v>5265766.8186816499</v>
      </c>
      <c r="AA28" s="218"/>
      <c r="AB28" s="121"/>
      <c r="AC28" s="123"/>
      <c r="AD28" s="123">
        <f>Z28+AD26</f>
        <v>5634095.5445687948</v>
      </c>
      <c r="AE28" s="766"/>
    </row>
    <row r="29" spans="3:31" ht="15.75" thickBot="1">
      <c r="C29" s="25"/>
      <c r="D29" s="35" t="s">
        <v>1009</v>
      </c>
      <c r="E29" s="215"/>
      <c r="F29" s="775"/>
      <c r="G29" s="129"/>
      <c r="H29" s="130"/>
      <c r="I29" s="124"/>
      <c r="J29" s="58">
        <f>J27</f>
        <v>7.8331080985109408E-2</v>
      </c>
      <c r="K29" s="219"/>
      <c r="L29" s="104"/>
      <c r="M29" s="124"/>
      <c r="N29" s="58">
        <f>J29+N27</f>
        <v>0.20326870947771686</v>
      </c>
      <c r="O29" s="219"/>
      <c r="P29" s="104"/>
      <c r="Q29" s="124"/>
      <c r="R29" s="58">
        <f>N29+R27</f>
        <v>0.32153499356961662</v>
      </c>
      <c r="S29" s="219"/>
      <c r="T29" s="104"/>
      <c r="U29" s="124"/>
      <c r="V29" s="220">
        <f>R29+V27</f>
        <v>0.59748965645071606</v>
      </c>
      <c r="W29" s="219"/>
      <c r="X29" s="104"/>
      <c r="Y29" s="124"/>
      <c r="Z29" s="58">
        <f>V29+Z27</f>
        <v>0.93462504798268642</v>
      </c>
      <c r="AA29" s="219"/>
      <c r="AB29" s="104"/>
      <c r="AC29" s="124"/>
      <c r="AD29" s="222">
        <f>Z29+AD27</f>
        <v>1</v>
      </c>
      <c r="AE29" s="766"/>
    </row>
    <row r="31" spans="3:31">
      <c r="C31" s="766"/>
      <c r="D31" s="766"/>
      <c r="E31" s="766"/>
      <c r="G31" s="766"/>
      <c r="H31" s="766"/>
      <c r="I31" s="766"/>
      <c r="J31" s="766"/>
      <c r="K31" s="766"/>
      <c r="L31" s="766"/>
      <c r="M31" s="766"/>
      <c r="N31" s="766"/>
      <c r="O31" s="766"/>
      <c r="P31" s="766"/>
      <c r="Q31" s="766"/>
      <c r="R31" s="766"/>
      <c r="S31" s="766"/>
      <c r="T31" s="766"/>
      <c r="U31" s="766"/>
      <c r="V31" s="766"/>
      <c r="W31" s="766"/>
      <c r="X31" s="766"/>
      <c r="Y31" s="766"/>
      <c r="Z31" s="766"/>
      <c r="AA31" s="766"/>
      <c r="AB31" s="766"/>
      <c r="AC31" s="766"/>
      <c r="AD31" s="551"/>
      <c r="AE31" s="766"/>
    </row>
    <row r="32" spans="3:31">
      <c r="C32" s="766"/>
      <c r="D32" s="766"/>
      <c r="E32" s="766"/>
      <c r="G32" s="766"/>
      <c r="H32" s="766"/>
      <c r="I32" s="766"/>
      <c r="J32" s="766"/>
      <c r="K32" s="766"/>
      <c r="L32" s="766"/>
      <c r="M32" s="766"/>
      <c r="N32" s="766"/>
      <c r="O32" s="766"/>
      <c r="P32" s="766"/>
      <c r="Q32" s="766"/>
      <c r="R32" s="766"/>
      <c r="S32" s="766"/>
      <c r="T32" s="766"/>
      <c r="U32" s="406"/>
      <c r="V32" s="406"/>
      <c r="W32" s="766"/>
      <c r="X32" s="766"/>
      <c r="Y32" s="766"/>
      <c r="Z32" s="766"/>
      <c r="AA32" s="766"/>
      <c r="AB32" s="766"/>
      <c r="AC32" s="766"/>
      <c r="AD32" s="766"/>
      <c r="AE32" s="766"/>
    </row>
    <row r="33" spans="5:31">
      <c r="E33" s="766"/>
      <c r="G33" s="766"/>
      <c r="H33" s="766"/>
      <c r="I33" s="766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766"/>
    </row>
    <row r="34" spans="5:31">
      <c r="E34" s="8"/>
      <c r="F34" s="8"/>
      <c r="G34" s="8"/>
      <c r="H34" s="8"/>
      <c r="I34" s="8"/>
      <c r="J34" s="8"/>
      <c r="K34" s="766"/>
      <c r="L34" s="766"/>
      <c r="M34" s="766"/>
      <c r="N34" s="766"/>
      <c r="O34" s="766"/>
      <c r="P34" s="766"/>
      <c r="Q34" s="766"/>
      <c r="R34" s="766"/>
      <c r="S34" s="766"/>
      <c r="T34" s="766"/>
      <c r="U34" s="767"/>
      <c r="V34" s="766"/>
      <c r="W34" s="766"/>
      <c r="X34" s="766"/>
      <c r="Y34" s="766"/>
      <c r="Z34" s="766"/>
      <c r="AA34" s="766"/>
      <c r="AB34" s="766"/>
      <c r="AC34" s="766"/>
      <c r="AD34" s="766"/>
      <c r="AE34" s="766"/>
    </row>
    <row r="36" spans="5:31">
      <c r="E36" s="766"/>
      <c r="G36" s="766"/>
      <c r="H36" s="766"/>
      <c r="I36" s="766"/>
      <c r="J36" s="766"/>
      <c r="K36" s="766"/>
      <c r="L36" s="766"/>
      <c r="M36" s="766"/>
      <c r="N36" s="766"/>
      <c r="O36" s="766"/>
      <c r="P36" s="766"/>
      <c r="Q36" s="766"/>
      <c r="R36" s="766"/>
      <c r="S36" s="766"/>
      <c r="T36" s="766"/>
      <c r="U36" s="766"/>
      <c r="V36" s="766"/>
      <c r="W36" s="766"/>
      <c r="X36" s="766"/>
      <c r="Y36" s="766"/>
      <c r="Z36" s="766"/>
      <c r="AA36" s="766"/>
      <c r="AB36" s="766"/>
      <c r="AC36" s="766"/>
      <c r="AD36" s="766"/>
      <c r="AE36" s="766"/>
    </row>
    <row r="37" spans="5:31">
      <c r="E37" s="766"/>
      <c r="G37" s="766"/>
      <c r="H37" s="766"/>
      <c r="I37" s="766"/>
      <c r="J37" s="766"/>
      <c r="K37" s="766"/>
      <c r="L37" s="766"/>
      <c r="M37" s="766"/>
      <c r="N37" s="766"/>
      <c r="O37" s="766"/>
      <c r="P37" s="766"/>
      <c r="Q37" s="766"/>
      <c r="R37" s="766"/>
      <c r="S37" s="766"/>
      <c r="T37" s="766"/>
      <c r="U37" s="766"/>
      <c r="V37" s="766"/>
      <c r="W37" s="766"/>
      <c r="X37" s="766"/>
      <c r="Y37" s="766"/>
      <c r="Z37" s="766"/>
      <c r="AA37" s="766"/>
      <c r="AB37" s="766"/>
      <c r="AC37" s="766"/>
      <c r="AD37" s="766"/>
      <c r="AE37" s="766"/>
    </row>
  </sheetData>
  <mergeCells count="25">
    <mergeCell ref="AB12:AC12"/>
    <mergeCell ref="C2:AC3"/>
    <mergeCell ref="D5:H5"/>
    <mergeCell ref="C8:AC8"/>
    <mergeCell ref="C10:D10"/>
    <mergeCell ref="E10:AD10"/>
    <mergeCell ref="E11:J11"/>
    <mergeCell ref="K11:N11"/>
    <mergeCell ref="O11:R11"/>
    <mergeCell ref="W11:Z11"/>
    <mergeCell ref="AA11:AD11"/>
    <mergeCell ref="S11:V11"/>
    <mergeCell ref="D11:D12"/>
    <mergeCell ref="C11:C12"/>
    <mergeCell ref="AB13:AC22"/>
    <mergeCell ref="D21:D22"/>
    <mergeCell ref="C21:C22"/>
    <mergeCell ref="C19:C20"/>
    <mergeCell ref="C17:C18"/>
    <mergeCell ref="C15:C16"/>
    <mergeCell ref="D15:D16"/>
    <mergeCell ref="D17:D18"/>
    <mergeCell ref="D19:D20"/>
    <mergeCell ref="C13:C14"/>
    <mergeCell ref="D13:D14"/>
  </mergeCells>
  <pageMargins left="0.51181102362204722" right="0.51181102362204722" top="0.78740157480314965" bottom="0.78740157480314965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69"/>
  <sheetViews>
    <sheetView workbookViewId="0">
      <selection activeCell="I5" sqref="I5"/>
    </sheetView>
  </sheetViews>
  <sheetFormatPr defaultColWidth="12.5703125" defaultRowHeight="15"/>
  <cols>
    <col min="1" max="1" width="15" style="59" bestFit="1" customWidth="1"/>
    <col min="2" max="2" width="4.42578125" style="59" bestFit="1" customWidth="1"/>
    <col min="3" max="3" width="102.28515625" style="59" customWidth="1"/>
    <col min="4" max="4" width="9.28515625" style="59" bestFit="1" customWidth="1"/>
    <col min="5" max="5" width="7.42578125" style="59" bestFit="1" customWidth="1"/>
    <col min="6" max="16384" width="12.5703125" style="59"/>
  </cols>
  <sheetData>
    <row r="1" spans="1:8" ht="21">
      <c r="A1" s="86"/>
      <c r="B1" s="50"/>
      <c r="C1" s="982" t="s">
        <v>1010</v>
      </c>
      <c r="D1" s="982"/>
      <c r="E1" s="51"/>
      <c r="F1" s="49"/>
      <c r="G1" s="49"/>
      <c r="H1" s="766"/>
    </row>
    <row r="2" spans="1:8">
      <c r="A2" s="983" t="s">
        <v>1011</v>
      </c>
      <c r="B2" s="984"/>
      <c r="C2" s="984"/>
      <c r="D2" s="984"/>
      <c r="E2" s="985"/>
      <c r="F2" s="87"/>
      <c r="G2" s="87"/>
      <c r="H2" s="766"/>
    </row>
    <row r="3" spans="1:8" ht="15" customHeight="1">
      <c r="A3" s="986" t="s">
        <v>1012</v>
      </c>
      <c r="B3" s="987"/>
      <c r="C3" s="987"/>
      <c r="D3" s="987"/>
      <c r="E3" s="988"/>
      <c r="F3" s="88"/>
      <c r="G3" s="88"/>
      <c r="H3" s="766"/>
    </row>
    <row r="4" spans="1:8" ht="15" customHeight="1">
      <c r="A4" s="989" t="s">
        <v>1013</v>
      </c>
      <c r="B4" s="990"/>
      <c r="C4" s="990"/>
      <c r="D4" s="990"/>
      <c r="E4" s="991"/>
      <c r="F4" s="88"/>
      <c r="G4" s="88"/>
      <c r="H4" s="766"/>
    </row>
    <row r="5" spans="1:8">
      <c r="A5" s="49"/>
      <c r="B5" s="49"/>
      <c r="C5" s="49"/>
      <c r="D5" s="49"/>
      <c r="E5" s="49"/>
      <c r="F5" s="49"/>
      <c r="G5" s="766"/>
      <c r="H5" s="766"/>
    </row>
    <row r="6" spans="1:8" s="98" customFormat="1">
      <c r="A6" s="177" t="s">
        <v>1014</v>
      </c>
      <c r="B6" s="178" t="s">
        <v>68</v>
      </c>
      <c r="C6" s="177" t="s">
        <v>1015</v>
      </c>
      <c r="D6" s="177"/>
      <c r="E6" s="177"/>
      <c r="F6" s="177"/>
      <c r="G6" s="179"/>
      <c r="H6" s="179"/>
    </row>
    <row r="7" spans="1:8">
      <c r="A7" s="70"/>
      <c r="B7" s="70"/>
      <c r="C7" s="70"/>
      <c r="D7" s="70"/>
      <c r="E7" s="70"/>
      <c r="F7" s="70"/>
      <c r="G7" s="180"/>
      <c r="H7" s="180"/>
    </row>
    <row r="8" spans="1:8">
      <c r="A8" s="70"/>
      <c r="B8" s="70" t="s">
        <v>1016</v>
      </c>
      <c r="C8" s="70"/>
      <c r="D8" s="70"/>
      <c r="E8" s="70"/>
      <c r="F8" s="70"/>
      <c r="G8" s="180"/>
      <c r="H8" s="180"/>
    </row>
    <row r="9" spans="1:8">
      <c r="A9" s="70"/>
      <c r="B9" s="70"/>
      <c r="C9" s="70" t="s">
        <v>1017</v>
      </c>
      <c r="D9" s="70">
        <f>10.75*0.6</f>
        <v>6.45</v>
      </c>
      <c r="E9" s="70" t="s">
        <v>1018</v>
      </c>
      <c r="F9" s="70"/>
      <c r="G9" s="180"/>
      <c r="H9" s="180"/>
    </row>
    <row r="10" spans="1:8">
      <c r="A10" s="70"/>
      <c r="B10" s="70"/>
      <c r="C10" s="70" t="s">
        <v>1019</v>
      </c>
      <c r="D10" s="70">
        <f>13.45*3.4</f>
        <v>45.73</v>
      </c>
      <c r="E10" s="70" t="s">
        <v>1018</v>
      </c>
      <c r="F10" s="70"/>
      <c r="G10" s="180"/>
      <c r="H10" s="180"/>
    </row>
    <row r="11" spans="1:8">
      <c r="A11" s="70"/>
      <c r="B11" s="70"/>
      <c r="C11" s="70" t="s">
        <v>1020</v>
      </c>
      <c r="D11" s="70">
        <f>D10-D9</f>
        <v>39.279999999999994</v>
      </c>
      <c r="E11" s="70" t="s">
        <v>1018</v>
      </c>
      <c r="F11" s="70"/>
      <c r="G11" s="180"/>
      <c r="H11" s="180"/>
    </row>
    <row r="12" spans="1:8">
      <c r="A12" s="70"/>
      <c r="B12" s="70"/>
      <c r="C12" s="70" t="s">
        <v>1021</v>
      </c>
      <c r="D12" s="70">
        <v>0.12</v>
      </c>
      <c r="E12" s="70" t="s">
        <v>1022</v>
      </c>
      <c r="F12" s="70"/>
      <c r="G12" s="180"/>
      <c r="H12" s="180"/>
    </row>
    <row r="13" spans="1:8" ht="15.75">
      <c r="A13" s="70"/>
      <c r="B13" s="70"/>
      <c r="C13" s="70" t="s">
        <v>1023</v>
      </c>
      <c r="D13" s="181">
        <f>D11*D12</f>
        <v>4.7135999999999987</v>
      </c>
      <c r="E13" s="70" t="s">
        <v>1024</v>
      </c>
      <c r="F13" s="70"/>
      <c r="G13" s="180"/>
      <c r="H13" s="180"/>
    </row>
    <row r="14" spans="1:8">
      <c r="A14" s="70"/>
      <c r="B14" s="70"/>
      <c r="C14" s="70"/>
      <c r="D14" s="70"/>
      <c r="E14" s="70"/>
      <c r="F14" s="70"/>
      <c r="G14" s="180"/>
      <c r="H14" s="180"/>
    </row>
    <row r="15" spans="1:8">
      <c r="A15" s="70"/>
      <c r="B15" s="70"/>
      <c r="C15" s="70"/>
      <c r="D15" s="70"/>
      <c r="E15" s="70"/>
      <c r="F15" s="70"/>
      <c r="G15" s="180"/>
      <c r="H15" s="180"/>
    </row>
    <row r="16" spans="1:8">
      <c r="A16" s="70"/>
      <c r="B16" s="70" t="s">
        <v>1025</v>
      </c>
      <c r="C16" s="70"/>
      <c r="D16" s="70"/>
      <c r="E16" s="70"/>
      <c r="F16" s="70"/>
      <c r="G16" s="180"/>
      <c r="H16" s="180"/>
    </row>
    <row r="17" spans="1:8">
      <c r="A17" s="70"/>
      <c r="B17" s="70"/>
      <c r="C17" s="70" t="s">
        <v>1017</v>
      </c>
      <c r="D17" s="70">
        <f>10.75*0.6</f>
        <v>6.45</v>
      </c>
      <c r="E17" s="70" t="s">
        <v>1018</v>
      </c>
      <c r="F17" s="70"/>
      <c r="G17" s="180"/>
      <c r="H17" s="180"/>
    </row>
    <row r="18" spans="1:8">
      <c r="A18" s="70"/>
      <c r="B18" s="70"/>
      <c r="C18" s="70" t="s">
        <v>1019</v>
      </c>
      <c r="D18" s="70">
        <f>14.7*4.4</f>
        <v>64.680000000000007</v>
      </c>
      <c r="E18" s="70" t="s">
        <v>1018</v>
      </c>
      <c r="F18" s="70"/>
      <c r="G18" s="180"/>
      <c r="H18" s="180"/>
    </row>
    <row r="19" spans="1:8">
      <c r="A19" s="70"/>
      <c r="B19" s="70"/>
      <c r="C19" s="70" t="s">
        <v>1020</v>
      </c>
      <c r="D19" s="70">
        <f>D18-D17</f>
        <v>58.230000000000004</v>
      </c>
      <c r="E19" s="70" t="s">
        <v>1018</v>
      </c>
      <c r="F19" s="70"/>
      <c r="G19" s="180"/>
      <c r="H19" s="180"/>
    </row>
    <row r="20" spans="1:8">
      <c r="A20" s="70"/>
      <c r="B20" s="70"/>
      <c r="C20" s="70" t="s">
        <v>1021</v>
      </c>
      <c r="D20" s="70">
        <v>0.12</v>
      </c>
      <c r="E20" s="70" t="s">
        <v>1022</v>
      </c>
      <c r="F20" s="70"/>
      <c r="G20" s="180"/>
      <c r="H20" s="180"/>
    </row>
    <row r="21" spans="1:8" ht="15.75">
      <c r="A21" s="70"/>
      <c r="B21" s="70"/>
      <c r="C21" s="70" t="s">
        <v>1023</v>
      </c>
      <c r="D21" s="181">
        <f>D19*D20</f>
        <v>6.9876000000000005</v>
      </c>
      <c r="E21" s="70" t="s">
        <v>1024</v>
      </c>
      <c r="F21" s="70"/>
      <c r="G21" s="180"/>
      <c r="H21" s="180"/>
    </row>
    <row r="22" spans="1:8">
      <c r="A22" s="70"/>
      <c r="B22" s="70"/>
      <c r="C22" s="70"/>
      <c r="D22" s="70"/>
      <c r="E22" s="70"/>
      <c r="F22" s="70"/>
      <c r="G22" s="180"/>
      <c r="H22" s="180"/>
    </row>
    <row r="23" spans="1:8" ht="15.75">
      <c r="A23" s="70"/>
      <c r="B23" s="70"/>
      <c r="C23" s="181" t="s">
        <v>1026</v>
      </c>
      <c r="D23" s="181">
        <f>D13+D21</f>
        <v>11.7012</v>
      </c>
      <c r="E23" s="181" t="s">
        <v>1024</v>
      </c>
      <c r="F23" s="70"/>
      <c r="G23" s="180"/>
      <c r="H23" s="180"/>
    </row>
    <row r="24" spans="1:8">
      <c r="A24" s="70"/>
      <c r="B24" s="70"/>
      <c r="C24" s="70"/>
      <c r="D24" s="70"/>
      <c r="E24" s="70"/>
      <c r="F24" s="70"/>
      <c r="G24" s="180"/>
      <c r="H24" s="180"/>
    </row>
    <row r="25" spans="1:8">
      <c r="A25" s="70"/>
      <c r="B25" s="70"/>
      <c r="C25" s="70"/>
      <c r="D25" s="70"/>
      <c r="E25" s="70"/>
      <c r="F25" s="70"/>
      <c r="G25" s="180"/>
      <c r="H25" s="180"/>
    </row>
    <row r="26" spans="1:8">
      <c r="A26" s="70"/>
      <c r="B26" s="70"/>
      <c r="C26" s="70"/>
      <c r="D26" s="70"/>
      <c r="E26" s="70"/>
      <c r="F26" s="70"/>
      <c r="G26" s="180"/>
      <c r="H26" s="180"/>
    </row>
    <row r="27" spans="1:8" s="98" customFormat="1">
      <c r="A27" s="182" t="s">
        <v>1027</v>
      </c>
      <c r="B27" s="178" t="s">
        <v>94</v>
      </c>
      <c r="C27" s="183" t="s">
        <v>1028</v>
      </c>
      <c r="D27" s="177"/>
      <c r="E27" s="177"/>
      <c r="F27" s="177"/>
      <c r="G27" s="179"/>
      <c r="H27" s="179"/>
    </row>
    <row r="28" spans="1:8">
      <c r="A28" s="184"/>
      <c r="B28" s="185"/>
      <c r="C28" s="186"/>
      <c r="D28" s="70"/>
      <c r="E28" s="70"/>
      <c r="F28" s="70"/>
      <c r="G28" s="180"/>
      <c r="H28" s="180"/>
    </row>
    <row r="29" spans="1:8">
      <c r="A29" s="184"/>
      <c r="B29" s="185"/>
      <c r="C29" s="186"/>
      <c r="D29" s="70"/>
      <c r="E29" s="70"/>
      <c r="F29" s="70"/>
      <c r="G29" s="180"/>
      <c r="H29" s="180"/>
    </row>
    <row r="30" spans="1:8">
      <c r="A30" s="184"/>
      <c r="B30" s="70" t="s">
        <v>1029</v>
      </c>
      <c r="C30" s="70"/>
      <c r="D30" s="70"/>
      <c r="E30" s="70"/>
      <c r="F30" s="70"/>
      <c r="G30" s="180"/>
      <c r="H30" s="180"/>
    </row>
    <row r="31" spans="1:8">
      <c r="A31" s="184"/>
      <c r="B31" s="70"/>
      <c r="C31" s="70" t="s">
        <v>1030</v>
      </c>
      <c r="D31" s="70">
        <f>(0.6*10.5*0.65)+(11.05*2.5*1.5)</f>
        <v>45.532499999999999</v>
      </c>
      <c r="E31" s="70" t="s">
        <v>1024</v>
      </c>
      <c r="F31" s="70"/>
      <c r="G31" s="180"/>
      <c r="H31" s="180"/>
    </row>
    <row r="32" spans="1:8">
      <c r="A32" s="184"/>
      <c r="B32" s="70"/>
      <c r="C32" s="70" t="s">
        <v>1031</v>
      </c>
      <c r="D32" s="70">
        <f>(3.9*13.45*(0.65+2.5))</f>
        <v>165.23325</v>
      </c>
      <c r="E32" s="70" t="s">
        <v>1024</v>
      </c>
      <c r="F32" s="70"/>
      <c r="G32" s="180"/>
      <c r="H32" s="180"/>
    </row>
    <row r="33" spans="1:8" ht="15.75">
      <c r="A33" s="184"/>
      <c r="B33" s="70"/>
      <c r="C33" s="70" t="s">
        <v>1032</v>
      </c>
      <c r="D33" s="187">
        <f>D32-D31</f>
        <v>119.70075</v>
      </c>
      <c r="E33" s="70" t="s">
        <v>1024</v>
      </c>
      <c r="F33" s="70"/>
      <c r="G33" s="180"/>
      <c r="H33" s="180"/>
    </row>
    <row r="34" spans="1:8">
      <c r="A34" s="184"/>
      <c r="B34" s="185"/>
      <c r="C34" s="186"/>
      <c r="D34" s="70"/>
      <c r="E34" s="70"/>
      <c r="F34" s="70"/>
      <c r="G34" s="180"/>
      <c r="H34" s="180"/>
    </row>
    <row r="35" spans="1:8">
      <c r="A35" s="184"/>
      <c r="B35" s="185"/>
      <c r="C35" s="186"/>
      <c r="D35" s="70"/>
      <c r="E35" s="70"/>
      <c r="F35" s="70"/>
      <c r="G35" s="180"/>
      <c r="H35" s="180"/>
    </row>
    <row r="36" spans="1:8">
      <c r="A36" s="184"/>
      <c r="B36" s="70" t="s">
        <v>1033</v>
      </c>
      <c r="C36" s="70"/>
      <c r="D36" s="70"/>
      <c r="E36" s="70"/>
      <c r="F36" s="70"/>
      <c r="G36" s="180"/>
      <c r="H36" s="180"/>
    </row>
    <row r="37" spans="1:8">
      <c r="A37" s="184"/>
      <c r="B37" s="70"/>
      <c r="C37" s="70" t="s">
        <v>1030</v>
      </c>
      <c r="D37" s="70">
        <f>(0.6*10.5*0.65)+(11.05*2.5*1.5)</f>
        <v>45.532499999999999</v>
      </c>
      <c r="E37" s="70" t="s">
        <v>1024</v>
      </c>
      <c r="F37" s="70"/>
      <c r="G37" s="180"/>
      <c r="H37" s="180"/>
    </row>
    <row r="38" spans="1:8">
      <c r="A38" s="184"/>
      <c r="B38" s="70"/>
      <c r="C38" s="70" t="s">
        <v>1031</v>
      </c>
      <c r="D38" s="70">
        <f>(3.9*13.45*(0.65+2.5))</f>
        <v>165.23325</v>
      </c>
      <c r="E38" s="70" t="s">
        <v>1024</v>
      </c>
      <c r="F38" s="70"/>
      <c r="G38" s="180"/>
      <c r="H38" s="180"/>
    </row>
    <row r="39" spans="1:8" ht="15.75">
      <c r="A39" s="184"/>
      <c r="B39" s="70"/>
      <c r="C39" s="70" t="s">
        <v>1032</v>
      </c>
      <c r="D39" s="187">
        <f>D38-D37</f>
        <v>119.70075</v>
      </c>
      <c r="E39" s="70" t="s">
        <v>1024</v>
      </c>
      <c r="F39" s="70"/>
      <c r="G39" s="180"/>
      <c r="H39" s="180"/>
    </row>
    <row r="40" spans="1:8">
      <c r="A40" s="184"/>
      <c r="B40" s="185"/>
      <c r="C40" s="186"/>
      <c r="D40" s="70"/>
      <c r="E40" s="70"/>
      <c r="F40" s="70"/>
      <c r="G40" s="180"/>
      <c r="H40" s="180"/>
    </row>
    <row r="41" spans="1:8">
      <c r="A41" s="70"/>
      <c r="B41" s="70"/>
      <c r="C41" s="70"/>
      <c r="D41" s="70"/>
      <c r="E41" s="70"/>
      <c r="F41" s="70"/>
      <c r="G41" s="180"/>
      <c r="H41" s="180"/>
    </row>
    <row r="42" spans="1:8">
      <c r="A42" s="70"/>
      <c r="B42" s="70" t="s">
        <v>1025</v>
      </c>
      <c r="C42" s="70"/>
      <c r="D42" s="70"/>
      <c r="E42" s="70"/>
      <c r="F42" s="70"/>
      <c r="G42" s="180"/>
      <c r="H42" s="180"/>
    </row>
    <row r="43" spans="1:8">
      <c r="A43" s="70"/>
      <c r="B43" s="70"/>
      <c r="C43" s="70" t="s">
        <v>1030</v>
      </c>
      <c r="D43" s="70">
        <f>(0.6*10.75*0.65)+(12.3*3*2)</f>
        <v>77.992500000000007</v>
      </c>
      <c r="E43" s="70" t="s">
        <v>1024</v>
      </c>
      <c r="F43" s="70"/>
      <c r="G43" s="180"/>
      <c r="H43" s="180"/>
    </row>
    <row r="44" spans="1:8">
      <c r="A44" s="70"/>
      <c r="B44" s="70"/>
      <c r="C44" s="70" t="s">
        <v>1031</v>
      </c>
      <c r="D44" s="70">
        <f>(4.4*14.7*(0.65+3))</f>
        <v>236.08200000000002</v>
      </c>
      <c r="E44" s="70" t="s">
        <v>1024</v>
      </c>
      <c r="F44" s="70"/>
      <c r="G44" s="180"/>
      <c r="H44" s="180"/>
    </row>
    <row r="45" spans="1:8" ht="15.75">
      <c r="A45" s="70"/>
      <c r="B45" s="70"/>
      <c r="C45" s="70" t="s">
        <v>1032</v>
      </c>
      <c r="D45" s="187">
        <f>D44-D43</f>
        <v>158.08950000000002</v>
      </c>
      <c r="E45" s="70" t="s">
        <v>1024</v>
      </c>
      <c r="F45" s="70"/>
      <c r="G45" s="180"/>
      <c r="H45" s="180"/>
    </row>
    <row r="46" spans="1:8">
      <c r="A46" s="70"/>
      <c r="B46" s="70"/>
      <c r="C46" s="70"/>
      <c r="D46" s="70"/>
      <c r="E46" s="70"/>
      <c r="F46" s="70"/>
      <c r="G46" s="180"/>
      <c r="H46" s="180"/>
    </row>
    <row r="47" spans="1:8">
      <c r="A47" s="70"/>
      <c r="B47" s="70"/>
      <c r="C47" s="70"/>
      <c r="D47" s="70"/>
      <c r="E47" s="70"/>
      <c r="F47" s="70"/>
      <c r="G47" s="180"/>
      <c r="H47" s="180"/>
    </row>
    <row r="48" spans="1:8">
      <c r="A48" s="70"/>
      <c r="B48" s="70"/>
      <c r="C48" s="70"/>
      <c r="D48" s="70"/>
      <c r="E48" s="70"/>
      <c r="F48" s="70"/>
      <c r="G48" s="180"/>
      <c r="H48" s="180"/>
    </row>
    <row r="49" spans="1:12" ht="15.75">
      <c r="A49" s="70"/>
      <c r="B49" s="70"/>
      <c r="C49" s="181" t="s">
        <v>1034</v>
      </c>
      <c r="D49" s="187">
        <f>D45+D39+D33</f>
        <v>397.49099999999999</v>
      </c>
      <c r="E49" s="181" t="s">
        <v>1024</v>
      </c>
      <c r="F49" s="70"/>
      <c r="G49" s="180"/>
      <c r="H49" s="180"/>
      <c r="I49" s="766"/>
      <c r="J49" s="766"/>
      <c r="K49" s="766"/>
      <c r="L49" s="766"/>
    </row>
    <row r="50" spans="1:12">
      <c r="A50" s="70"/>
      <c r="B50" s="70"/>
      <c r="C50" s="70"/>
      <c r="D50" s="70"/>
      <c r="E50" s="70"/>
      <c r="F50" s="70"/>
      <c r="G50" s="180"/>
      <c r="H50" s="180"/>
      <c r="I50" s="766"/>
      <c r="J50" s="766"/>
      <c r="K50" s="766"/>
      <c r="L50" s="766"/>
    </row>
    <row r="51" spans="1:12">
      <c r="A51" s="70"/>
      <c r="B51" s="70"/>
      <c r="C51" s="70"/>
      <c r="D51" s="70"/>
      <c r="E51" s="70"/>
      <c r="F51" s="70"/>
      <c r="G51" s="70"/>
      <c r="H51" s="70"/>
      <c r="I51" s="766"/>
      <c r="J51" s="766"/>
      <c r="K51" s="766"/>
      <c r="L51" s="766"/>
    </row>
    <row r="52" spans="1:12" s="98" customFormat="1">
      <c r="A52" s="182" t="s">
        <v>1035</v>
      </c>
      <c r="B52" s="178" t="s">
        <v>1036</v>
      </c>
      <c r="C52" s="183" t="s">
        <v>1037</v>
      </c>
      <c r="D52" s="177"/>
      <c r="E52" s="177"/>
      <c r="F52" s="177"/>
      <c r="G52" s="177"/>
      <c r="H52" s="177"/>
    </row>
    <row r="53" spans="1:12">
      <c r="A53" s="70"/>
      <c r="B53" s="70"/>
      <c r="C53" s="70"/>
      <c r="D53" s="70"/>
      <c r="E53" s="70"/>
      <c r="F53" s="70"/>
      <c r="G53" s="70"/>
      <c r="H53" s="70"/>
      <c r="I53" s="766"/>
      <c r="J53" s="766"/>
      <c r="K53" s="766"/>
      <c r="L53" s="766"/>
    </row>
    <row r="54" spans="1:12">
      <c r="A54" s="70"/>
      <c r="B54" s="70" t="s">
        <v>1016</v>
      </c>
      <c r="C54" s="70"/>
      <c r="D54" s="188">
        <v>1</v>
      </c>
      <c r="E54" s="70" t="s">
        <v>1022</v>
      </c>
      <c r="F54" s="70"/>
      <c r="G54" s="70"/>
      <c r="H54" s="70"/>
      <c r="I54" s="766"/>
      <c r="J54" s="766"/>
      <c r="K54" s="766"/>
      <c r="L54" s="766"/>
    </row>
    <row r="55" spans="1:12">
      <c r="A55" s="70"/>
      <c r="B55" s="70"/>
      <c r="C55" s="70" t="s">
        <v>1038</v>
      </c>
      <c r="D55" s="70">
        <v>9</v>
      </c>
      <c r="E55" s="70" t="s">
        <v>1022</v>
      </c>
      <c r="F55" s="70" t="s">
        <v>1039</v>
      </c>
      <c r="G55" s="70"/>
      <c r="H55" s="70"/>
      <c r="I55" s="766"/>
      <c r="J55" s="766"/>
      <c r="K55" s="766"/>
      <c r="L55" s="766"/>
    </row>
    <row r="56" spans="1:12">
      <c r="A56" s="70"/>
      <c r="B56" s="70"/>
      <c r="C56" s="70" t="s">
        <v>1040</v>
      </c>
      <c r="D56" s="70">
        <v>2</v>
      </c>
      <c r="E56" s="70" t="s">
        <v>913</v>
      </c>
      <c r="F56" s="70"/>
      <c r="G56" s="70"/>
      <c r="H56" s="70"/>
      <c r="I56" s="766"/>
      <c r="J56" s="766"/>
      <c r="K56" s="766"/>
      <c r="L56" s="766"/>
    </row>
    <row r="57" spans="1:12" ht="15.75">
      <c r="A57" s="70"/>
      <c r="B57" s="70"/>
      <c r="C57" s="70" t="s">
        <v>1041</v>
      </c>
      <c r="D57" s="187">
        <f>G58*G57*D55*D56</f>
        <v>14.137166941154069</v>
      </c>
      <c r="E57" s="70" t="s">
        <v>1024</v>
      </c>
      <c r="F57" s="189" t="s">
        <v>1042</v>
      </c>
      <c r="G57" s="70">
        <f>PI()</f>
        <v>3.1415926535897931</v>
      </c>
      <c r="H57" s="70"/>
      <c r="I57" s="766"/>
      <c r="J57" s="766"/>
      <c r="K57" s="766"/>
      <c r="L57" s="766"/>
    </row>
    <row r="58" spans="1:12">
      <c r="A58" s="70"/>
      <c r="B58" s="70"/>
      <c r="C58" s="70" t="s">
        <v>1032</v>
      </c>
      <c r="D58" s="70"/>
      <c r="E58" s="70"/>
      <c r="F58" s="189" t="s">
        <v>1043</v>
      </c>
      <c r="G58" s="70">
        <f>0.5*0.5</f>
        <v>0.25</v>
      </c>
      <c r="H58" s="70"/>
      <c r="I58" s="766"/>
      <c r="J58" s="766"/>
      <c r="K58" s="766"/>
      <c r="L58" s="766"/>
    </row>
    <row r="59" spans="1:12">
      <c r="A59" s="70"/>
      <c r="B59" s="70"/>
      <c r="C59" s="70"/>
      <c r="D59" s="70"/>
      <c r="E59" s="70"/>
      <c r="F59" s="189"/>
      <c r="G59" s="70"/>
      <c r="H59" s="70"/>
      <c r="I59" s="766"/>
      <c r="J59" s="766"/>
      <c r="K59" s="766"/>
      <c r="L59" s="766"/>
    </row>
    <row r="60" spans="1:12">
      <c r="A60" s="70"/>
      <c r="B60" s="70" t="s">
        <v>1044</v>
      </c>
      <c r="C60" s="70"/>
      <c r="D60" s="70"/>
      <c r="E60" s="70"/>
      <c r="F60" s="70"/>
      <c r="G60" s="70"/>
      <c r="H60" s="70"/>
      <c r="I60" s="766"/>
      <c r="J60" s="766"/>
      <c r="K60" s="766"/>
      <c r="L60" s="766"/>
    </row>
    <row r="61" spans="1:12">
      <c r="A61" s="70"/>
      <c r="B61" s="70"/>
      <c r="C61" s="70" t="s">
        <v>1038</v>
      </c>
      <c r="D61" s="188">
        <v>1</v>
      </c>
      <c r="E61" s="70" t="s">
        <v>1022</v>
      </c>
      <c r="F61" s="70"/>
      <c r="G61" s="70"/>
      <c r="H61" s="70"/>
      <c r="I61" s="148"/>
      <c r="J61" s="48"/>
      <c r="K61" s="48"/>
      <c r="L61" s="149"/>
    </row>
    <row r="62" spans="1:12">
      <c r="A62" s="70"/>
      <c r="B62" s="70"/>
      <c r="C62" s="70" t="s">
        <v>1040</v>
      </c>
      <c r="D62" s="70">
        <v>11.55</v>
      </c>
      <c r="E62" s="70" t="s">
        <v>1022</v>
      </c>
      <c r="F62" s="70" t="s">
        <v>1039</v>
      </c>
      <c r="G62" s="70"/>
      <c r="H62" s="70"/>
      <c r="I62" s="48"/>
      <c r="J62" s="48"/>
      <c r="K62" s="48"/>
      <c r="L62" s="149"/>
    </row>
    <row r="63" spans="1:12">
      <c r="A63" s="70"/>
      <c r="B63" s="70"/>
      <c r="C63" s="70" t="s">
        <v>1041</v>
      </c>
      <c r="D63" s="70">
        <v>2</v>
      </c>
      <c r="E63" s="70" t="s">
        <v>913</v>
      </c>
      <c r="F63" s="70"/>
      <c r="G63" s="70"/>
      <c r="H63" s="70"/>
      <c r="I63" s="48"/>
      <c r="J63" s="48"/>
      <c r="K63" s="48"/>
      <c r="L63" s="149"/>
    </row>
    <row r="64" spans="1:12" ht="15.75">
      <c r="A64" s="70"/>
      <c r="B64" s="70"/>
      <c r="C64" s="70" t="s">
        <v>1032</v>
      </c>
      <c r="D64" s="187">
        <f>G65*G64*D62*D63</f>
        <v>18.142697574481055</v>
      </c>
      <c r="E64" s="70" t="s">
        <v>1024</v>
      </c>
      <c r="F64" s="189" t="s">
        <v>1042</v>
      </c>
      <c r="G64" s="70">
        <f>PI()</f>
        <v>3.1415926535897931</v>
      </c>
      <c r="H64" s="70"/>
      <c r="I64" s="150"/>
      <c r="J64" s="48"/>
      <c r="K64" s="151"/>
      <c r="L64" s="149"/>
    </row>
    <row r="65" spans="1:12">
      <c r="A65" s="70"/>
      <c r="B65" s="70"/>
      <c r="C65" s="70"/>
      <c r="D65" s="70"/>
      <c r="E65" s="70"/>
      <c r="F65" s="189" t="s">
        <v>1043</v>
      </c>
      <c r="G65" s="70">
        <f>0.5*0.5</f>
        <v>0.25</v>
      </c>
      <c r="H65" s="70"/>
      <c r="I65" s="48"/>
      <c r="J65" s="48"/>
      <c r="K65" s="151"/>
      <c r="L65" s="149"/>
    </row>
    <row r="66" spans="1:12">
      <c r="A66" s="70"/>
      <c r="B66" s="70"/>
      <c r="C66" s="70"/>
      <c r="D66" s="70"/>
      <c r="E66" s="70"/>
      <c r="F66" s="189"/>
      <c r="G66" s="70"/>
      <c r="H66" s="70"/>
      <c r="I66" s="48"/>
      <c r="J66" s="48"/>
      <c r="K66" s="151"/>
      <c r="L66" s="149"/>
    </row>
    <row r="67" spans="1:12">
      <c r="A67" s="70"/>
      <c r="B67" s="70"/>
      <c r="C67" s="70"/>
      <c r="D67" s="70"/>
      <c r="E67" s="70"/>
      <c r="F67" s="189"/>
      <c r="G67" s="70"/>
      <c r="H67" s="70"/>
      <c r="I67" s="48"/>
      <c r="J67" s="48"/>
      <c r="K67" s="151"/>
      <c r="L67" s="149"/>
    </row>
    <row r="68" spans="1:12">
      <c r="A68" s="70"/>
      <c r="B68" s="70" t="s">
        <v>1033</v>
      </c>
      <c r="C68" s="70"/>
      <c r="D68" s="70"/>
      <c r="E68" s="70"/>
      <c r="F68" s="70"/>
      <c r="G68" s="70"/>
      <c r="H68" s="70"/>
      <c r="I68" s="48"/>
      <c r="J68" s="48"/>
      <c r="K68" s="151"/>
      <c r="L68" s="149"/>
    </row>
    <row r="69" spans="1:12">
      <c r="A69" s="70"/>
      <c r="B69" s="70"/>
      <c r="C69" s="70" t="s">
        <v>1038</v>
      </c>
      <c r="D69" s="188">
        <v>1</v>
      </c>
      <c r="E69" s="70" t="s">
        <v>1022</v>
      </c>
      <c r="F69" s="70"/>
      <c r="G69" s="70"/>
      <c r="H69" s="70"/>
      <c r="I69" s="48"/>
      <c r="J69" s="48"/>
      <c r="K69" s="151"/>
      <c r="L69" s="149"/>
    </row>
    <row r="70" spans="1:12">
      <c r="A70" s="70"/>
      <c r="B70" s="70"/>
      <c r="C70" s="70" t="s">
        <v>1040</v>
      </c>
      <c r="D70" s="70">
        <v>9.5500000000000007</v>
      </c>
      <c r="E70" s="70" t="s">
        <v>1022</v>
      </c>
      <c r="F70" s="70" t="s">
        <v>1039</v>
      </c>
      <c r="G70" s="70"/>
      <c r="H70" s="70"/>
      <c r="I70" s="48"/>
      <c r="J70" s="48"/>
      <c r="K70" s="151"/>
      <c r="L70" s="149"/>
    </row>
    <row r="71" spans="1:12">
      <c r="A71" s="70"/>
      <c r="B71" s="70"/>
      <c r="C71" s="70" t="s">
        <v>1041</v>
      </c>
      <c r="D71" s="70">
        <v>2</v>
      </c>
      <c r="E71" s="70" t="s">
        <v>913</v>
      </c>
      <c r="F71" s="70"/>
      <c r="G71" s="70"/>
      <c r="H71" s="70"/>
      <c r="I71" s="48"/>
      <c r="J71" s="48"/>
      <c r="K71" s="151"/>
      <c r="L71" s="149"/>
    </row>
    <row r="72" spans="1:12" ht="15.75">
      <c r="A72" s="70"/>
      <c r="B72" s="70"/>
      <c r="C72" s="70" t="s">
        <v>1032</v>
      </c>
      <c r="D72" s="187">
        <f>G73*G72*D70*D71</f>
        <v>15.001104920891263</v>
      </c>
      <c r="E72" s="70" t="s">
        <v>1024</v>
      </c>
      <c r="F72" s="189" t="s">
        <v>1042</v>
      </c>
      <c r="G72" s="70">
        <f>PI()</f>
        <v>3.1415926535897931</v>
      </c>
      <c r="H72" s="70"/>
      <c r="I72" s="48"/>
      <c r="J72" s="48"/>
      <c r="K72" s="151"/>
      <c r="L72" s="149"/>
    </row>
    <row r="73" spans="1:12">
      <c r="A73" s="70"/>
      <c r="B73" s="70"/>
      <c r="C73" s="70"/>
      <c r="D73" s="70"/>
      <c r="E73" s="70"/>
      <c r="F73" s="189" t="s">
        <v>1043</v>
      </c>
      <c r="G73" s="70">
        <f>0.5*0.5</f>
        <v>0.25</v>
      </c>
      <c r="H73" s="70"/>
      <c r="I73" s="48"/>
      <c r="J73" s="48"/>
      <c r="K73" s="151"/>
      <c r="L73" s="149"/>
    </row>
    <row r="74" spans="1:12">
      <c r="A74" s="70"/>
      <c r="B74" s="70"/>
      <c r="C74" s="70"/>
      <c r="D74" s="70"/>
      <c r="E74" s="70"/>
      <c r="F74" s="189"/>
      <c r="G74" s="70"/>
      <c r="H74" s="70"/>
      <c r="I74" s="48"/>
      <c r="J74" s="48"/>
      <c r="K74" s="151"/>
      <c r="L74" s="149"/>
    </row>
    <row r="75" spans="1:12">
      <c r="A75" s="70"/>
      <c r="B75" s="70" t="s">
        <v>1025</v>
      </c>
      <c r="C75" s="70"/>
      <c r="D75" s="70"/>
      <c r="E75" s="70"/>
      <c r="F75" s="70"/>
      <c r="G75" s="70"/>
      <c r="H75" s="70"/>
      <c r="I75" s="48"/>
      <c r="J75" s="48"/>
      <c r="K75" s="48"/>
      <c r="L75" s="149"/>
    </row>
    <row r="76" spans="1:12">
      <c r="A76" s="70"/>
      <c r="B76" s="70"/>
      <c r="C76" s="70" t="s">
        <v>1038</v>
      </c>
      <c r="D76" s="188">
        <v>1</v>
      </c>
      <c r="E76" s="70" t="s">
        <v>1022</v>
      </c>
      <c r="F76" s="70"/>
      <c r="G76" s="70"/>
      <c r="H76" s="70"/>
      <c r="I76" s="148"/>
      <c r="J76" s="48"/>
      <c r="K76" s="48"/>
      <c r="L76" s="149"/>
    </row>
    <row r="77" spans="1:12">
      <c r="A77" s="70"/>
      <c r="B77" s="70"/>
      <c r="C77" s="70" t="s">
        <v>1040</v>
      </c>
      <c r="D77" s="70">
        <v>9.5</v>
      </c>
      <c r="E77" s="70" t="s">
        <v>1022</v>
      </c>
      <c r="F77" s="70" t="s">
        <v>1039</v>
      </c>
      <c r="G77" s="70"/>
      <c r="H77" s="70"/>
      <c r="I77" s="48"/>
      <c r="J77" s="48"/>
      <c r="K77" s="48"/>
      <c r="L77" s="149"/>
    </row>
    <row r="78" spans="1:12">
      <c r="A78" s="70"/>
      <c r="B78" s="70"/>
      <c r="C78" s="70" t="s">
        <v>1041</v>
      </c>
      <c r="D78" s="70">
        <v>2</v>
      </c>
      <c r="E78" s="70" t="s">
        <v>913</v>
      </c>
      <c r="F78" s="70"/>
      <c r="G78" s="70"/>
      <c r="H78" s="70"/>
      <c r="I78" s="48"/>
      <c r="J78" s="48"/>
      <c r="K78" s="48"/>
      <c r="L78" s="149"/>
    </row>
    <row r="79" spans="1:12" ht="15.75">
      <c r="A79" s="70"/>
      <c r="B79" s="70"/>
      <c r="C79" s="70" t="s">
        <v>1032</v>
      </c>
      <c r="D79" s="187">
        <f>G65*G64*D77*D78</f>
        <v>14.922565104551516</v>
      </c>
      <c r="E79" s="70" t="s">
        <v>1024</v>
      </c>
      <c r="F79" s="70"/>
      <c r="G79" s="70"/>
      <c r="H79" s="70"/>
      <c r="I79" s="89"/>
      <c r="J79" s="49"/>
      <c r="K79" s="49"/>
      <c r="L79" s="9"/>
    </row>
    <row r="80" spans="1:12">
      <c r="A80" s="70"/>
      <c r="B80" s="70"/>
      <c r="C80" s="70"/>
      <c r="D80" s="70"/>
      <c r="E80" s="70"/>
      <c r="F80" s="70"/>
      <c r="G80" s="70"/>
      <c r="H80" s="70"/>
      <c r="I80" s="766"/>
      <c r="J80" s="766"/>
      <c r="K80" s="766"/>
      <c r="L80" s="766"/>
    </row>
    <row r="81" spans="1:8">
      <c r="A81" s="70"/>
      <c r="B81" s="70"/>
      <c r="C81" s="70"/>
      <c r="D81" s="70"/>
      <c r="E81" s="70"/>
      <c r="F81" s="70"/>
      <c r="G81" s="70"/>
      <c r="H81" s="70"/>
    </row>
    <row r="82" spans="1:8" ht="15.75">
      <c r="A82" s="70"/>
      <c r="B82" s="70"/>
      <c r="C82" s="181" t="s">
        <v>1045</v>
      </c>
      <c r="D82" s="187">
        <f>D79+D72+D64+D57</f>
        <v>62.203534541077907</v>
      </c>
      <c r="E82" s="181" t="s">
        <v>1024</v>
      </c>
      <c r="F82" s="70"/>
      <c r="G82" s="70"/>
      <c r="H82" s="70"/>
    </row>
    <row r="83" spans="1:8">
      <c r="A83" s="70"/>
      <c r="B83" s="70"/>
      <c r="C83" s="70"/>
      <c r="D83" s="70"/>
      <c r="E83" s="70"/>
      <c r="F83" s="70"/>
      <c r="G83" s="70"/>
      <c r="H83" s="70"/>
    </row>
    <row r="84" spans="1:8">
      <c r="A84" s="70"/>
      <c r="B84" s="70"/>
      <c r="C84" s="70"/>
      <c r="D84" s="70"/>
      <c r="E84" s="70"/>
      <c r="F84" s="70"/>
      <c r="G84" s="70"/>
      <c r="H84" s="70"/>
    </row>
    <row r="85" spans="1:8" s="98" customFormat="1">
      <c r="A85" s="182" t="s">
        <v>1046</v>
      </c>
      <c r="B85" s="178" t="s">
        <v>1047</v>
      </c>
      <c r="C85" s="183" t="s">
        <v>1048</v>
      </c>
      <c r="D85" s="177"/>
      <c r="E85" s="177"/>
      <c r="F85" s="177"/>
      <c r="G85" s="179"/>
      <c r="H85" s="179"/>
    </row>
    <row r="86" spans="1:8">
      <c r="A86" s="70"/>
      <c r="B86" s="70"/>
      <c r="C86" s="70"/>
      <c r="D86" s="70"/>
      <c r="E86" s="70"/>
      <c r="F86" s="70"/>
      <c r="G86" s="180"/>
      <c r="H86" s="180"/>
    </row>
    <row r="87" spans="1:8">
      <c r="A87" s="70"/>
      <c r="B87" s="70" t="s">
        <v>1049</v>
      </c>
      <c r="C87" s="70"/>
      <c r="D87" s="70"/>
      <c r="E87" s="70"/>
      <c r="F87" s="70"/>
      <c r="G87" s="180"/>
      <c r="H87" s="180"/>
    </row>
    <row r="88" spans="1:8">
      <c r="A88" s="70"/>
      <c r="B88" s="70"/>
      <c r="C88" s="70" t="s">
        <v>1050</v>
      </c>
      <c r="D88" s="70">
        <f>(9*0.6)*2</f>
        <v>10.799999999999999</v>
      </c>
      <c r="E88" s="70" t="s">
        <v>1018</v>
      </c>
      <c r="F88" s="70"/>
      <c r="G88" s="180"/>
      <c r="H88" s="180"/>
    </row>
    <row r="89" spans="1:8">
      <c r="A89" s="70"/>
      <c r="B89" s="70"/>
      <c r="C89" s="70"/>
      <c r="D89" s="70"/>
      <c r="E89" s="70"/>
      <c r="F89" s="70"/>
      <c r="G89" s="180"/>
      <c r="H89" s="180"/>
    </row>
    <row r="90" spans="1:8">
      <c r="A90" s="70"/>
      <c r="B90" s="70"/>
      <c r="C90" s="70"/>
      <c r="D90" s="70"/>
      <c r="E90" s="70"/>
      <c r="F90" s="70"/>
      <c r="G90" s="180"/>
      <c r="H90" s="180"/>
    </row>
    <row r="91" spans="1:8">
      <c r="A91" s="70"/>
      <c r="B91" s="70" t="s">
        <v>1051</v>
      </c>
      <c r="C91" s="70"/>
      <c r="D91" s="70"/>
      <c r="E91" s="70"/>
      <c r="F91" s="70"/>
      <c r="G91" s="180"/>
      <c r="H91" s="180"/>
    </row>
    <row r="92" spans="1:8">
      <c r="A92" s="70"/>
      <c r="B92" s="70"/>
      <c r="C92" s="70" t="s">
        <v>1052</v>
      </c>
      <c r="D92" s="70">
        <f>((2.5*1.5)*2)+((2.5*11.05)*2)+((0.65*10.75)*2)+((0.65*0.6)*2)</f>
        <v>77.504999999999995</v>
      </c>
      <c r="E92" s="70" t="s">
        <v>1018</v>
      </c>
      <c r="F92" s="70"/>
      <c r="G92" s="180"/>
      <c r="H92" s="180"/>
    </row>
    <row r="93" spans="1:8">
      <c r="A93" s="70"/>
      <c r="B93" s="70"/>
      <c r="C93" s="70" t="s">
        <v>1053</v>
      </c>
      <c r="D93" s="70">
        <f>0.6*10.75</f>
        <v>6.45</v>
      </c>
      <c r="E93" s="70" t="s">
        <v>1018</v>
      </c>
      <c r="F93" s="70"/>
      <c r="G93" s="180"/>
      <c r="H93" s="180"/>
    </row>
    <row r="94" spans="1:8">
      <c r="A94" s="70"/>
      <c r="B94" s="70"/>
      <c r="C94" s="70" t="s">
        <v>1054</v>
      </c>
      <c r="D94" s="70">
        <f>1.5*11.05</f>
        <v>16.575000000000003</v>
      </c>
      <c r="E94" s="70" t="s">
        <v>1018</v>
      </c>
      <c r="F94" s="70"/>
      <c r="G94" s="180"/>
      <c r="H94" s="180"/>
    </row>
    <row r="95" spans="1:8">
      <c r="A95" s="70"/>
      <c r="B95" s="70"/>
      <c r="C95" s="70" t="s">
        <v>1055</v>
      </c>
      <c r="D95" s="70">
        <f>D94-D93</f>
        <v>10.125000000000004</v>
      </c>
      <c r="E95" s="70" t="s">
        <v>1018</v>
      </c>
      <c r="F95" s="70"/>
      <c r="G95" s="180"/>
      <c r="H95" s="180"/>
    </row>
    <row r="96" spans="1:8">
      <c r="A96" s="70"/>
      <c r="B96" s="70"/>
      <c r="C96" s="70"/>
      <c r="D96" s="70"/>
      <c r="E96" s="70"/>
      <c r="F96" s="70"/>
      <c r="G96" s="180"/>
      <c r="H96" s="180"/>
    </row>
    <row r="97" spans="1:8">
      <c r="A97" s="70"/>
      <c r="B97" s="70"/>
      <c r="C97" s="70" t="s">
        <v>1056</v>
      </c>
      <c r="D97" s="70">
        <f>(11.55*0.6)*2</f>
        <v>13.860000000000001</v>
      </c>
      <c r="E97" s="70" t="s">
        <v>1018</v>
      </c>
      <c r="F97" s="70"/>
      <c r="G97" s="180"/>
      <c r="H97" s="180"/>
    </row>
    <row r="98" spans="1:8">
      <c r="A98" s="70"/>
      <c r="B98" s="70"/>
      <c r="C98" s="70"/>
      <c r="D98" s="70"/>
      <c r="E98" s="70"/>
      <c r="F98" s="70"/>
      <c r="G98" s="180"/>
      <c r="H98" s="180"/>
    </row>
    <row r="99" spans="1:8">
      <c r="A99" s="70"/>
      <c r="B99" s="70"/>
      <c r="C99" s="70" t="s">
        <v>1057</v>
      </c>
      <c r="D99" s="70">
        <f>D97+D95+D92</f>
        <v>101.49000000000001</v>
      </c>
      <c r="E99" s="70" t="s">
        <v>1018</v>
      </c>
      <c r="F99" s="70"/>
      <c r="G99" s="180"/>
      <c r="H99" s="180"/>
    </row>
    <row r="100" spans="1:8">
      <c r="A100" s="70"/>
      <c r="B100" s="70"/>
      <c r="C100" s="70"/>
      <c r="D100" s="70"/>
      <c r="E100" s="70"/>
      <c r="F100" s="70"/>
      <c r="G100" s="180"/>
      <c r="H100" s="180"/>
    </row>
    <row r="101" spans="1:8">
      <c r="A101" s="70"/>
      <c r="B101" s="70" t="s">
        <v>1051</v>
      </c>
      <c r="C101" s="70"/>
      <c r="D101" s="70"/>
      <c r="E101" s="70"/>
      <c r="F101" s="70"/>
      <c r="G101" s="180"/>
      <c r="H101" s="180"/>
    </row>
    <row r="102" spans="1:8">
      <c r="A102" s="70"/>
      <c r="B102" s="70"/>
      <c r="C102" s="70" t="s">
        <v>1052</v>
      </c>
      <c r="D102" s="70">
        <f>((2.5*1.5)*2)+((2.5*11.05)*2)+((0.65*10.75)*2)+((0.65*0.6)*2)</f>
        <v>77.504999999999995</v>
      </c>
      <c r="E102" s="70" t="s">
        <v>1018</v>
      </c>
      <c r="F102" s="70"/>
      <c r="G102" s="180"/>
      <c r="H102" s="180"/>
    </row>
    <row r="103" spans="1:8">
      <c r="A103" s="70"/>
      <c r="B103" s="70"/>
      <c r="C103" s="70" t="s">
        <v>1053</v>
      </c>
      <c r="D103" s="70">
        <f>0.6*10.75</f>
        <v>6.45</v>
      </c>
      <c r="E103" s="70" t="s">
        <v>1018</v>
      </c>
      <c r="F103" s="70"/>
      <c r="G103" s="180"/>
      <c r="H103" s="180"/>
    </row>
    <row r="104" spans="1:8">
      <c r="A104" s="70"/>
      <c r="B104" s="70"/>
      <c r="C104" s="70" t="s">
        <v>1054</v>
      </c>
      <c r="D104" s="70">
        <f>1.5*11.05</f>
        <v>16.575000000000003</v>
      </c>
      <c r="E104" s="70" t="s">
        <v>1018</v>
      </c>
      <c r="F104" s="70"/>
      <c r="G104" s="180"/>
      <c r="H104" s="180"/>
    </row>
    <row r="105" spans="1:8">
      <c r="A105" s="70"/>
      <c r="B105" s="70"/>
      <c r="C105" s="70" t="s">
        <v>1055</v>
      </c>
      <c r="D105" s="70">
        <f>D104-D103</f>
        <v>10.125000000000004</v>
      </c>
      <c r="E105" s="70" t="s">
        <v>1018</v>
      </c>
      <c r="F105" s="70"/>
      <c r="G105" s="180"/>
      <c r="H105" s="180"/>
    </row>
    <row r="106" spans="1:8">
      <c r="A106" s="70"/>
      <c r="B106" s="70"/>
      <c r="C106" s="70"/>
      <c r="D106" s="70"/>
      <c r="E106" s="70"/>
      <c r="F106" s="70"/>
      <c r="G106" s="180"/>
      <c r="H106" s="180"/>
    </row>
    <row r="107" spans="1:8">
      <c r="A107" s="70"/>
      <c r="B107" s="70"/>
      <c r="C107" s="70" t="s">
        <v>1056</v>
      </c>
      <c r="D107" s="70">
        <f>(9.55*0.6)*2</f>
        <v>11.46</v>
      </c>
      <c r="E107" s="70" t="s">
        <v>1018</v>
      </c>
      <c r="F107" s="70"/>
      <c r="G107" s="180"/>
      <c r="H107" s="180"/>
    </row>
    <row r="108" spans="1:8">
      <c r="A108" s="70"/>
      <c r="B108" s="70"/>
      <c r="C108" s="70"/>
      <c r="D108" s="70"/>
      <c r="E108" s="70"/>
      <c r="F108" s="70"/>
      <c r="G108" s="180"/>
      <c r="H108" s="180"/>
    </row>
    <row r="109" spans="1:8" ht="15.75">
      <c r="A109" s="70"/>
      <c r="B109" s="70"/>
      <c r="C109" s="190" t="s">
        <v>1058</v>
      </c>
      <c r="D109" s="70">
        <f>D107+D105+D102</f>
        <v>99.09</v>
      </c>
      <c r="E109" s="70" t="s">
        <v>1018</v>
      </c>
      <c r="F109" s="70"/>
      <c r="G109" s="180"/>
      <c r="H109" s="180"/>
    </row>
    <row r="110" spans="1:8">
      <c r="A110" s="70"/>
      <c r="B110" s="70"/>
      <c r="C110" s="70"/>
      <c r="D110" s="70"/>
      <c r="E110" s="70"/>
      <c r="F110" s="70"/>
      <c r="G110" s="180"/>
      <c r="H110" s="180"/>
    </row>
    <row r="111" spans="1:8">
      <c r="A111" s="70"/>
      <c r="B111" s="70" t="s">
        <v>1059</v>
      </c>
      <c r="C111" s="70"/>
      <c r="D111" s="70"/>
      <c r="E111" s="70"/>
      <c r="F111" s="70"/>
      <c r="G111" s="180"/>
      <c r="H111" s="180"/>
    </row>
    <row r="112" spans="1:8">
      <c r="A112" s="70"/>
      <c r="B112" s="70"/>
      <c r="C112" s="70" t="s">
        <v>1052</v>
      </c>
      <c r="D112" s="70">
        <f>((3*2)*2)+((3*12.3)*2)+((0.65*10.75)*2)+((0.65*0.6)*2)</f>
        <v>100.55500000000001</v>
      </c>
      <c r="E112" s="70" t="s">
        <v>1018</v>
      </c>
      <c r="F112" s="70"/>
      <c r="G112" s="180"/>
      <c r="H112" s="180"/>
    </row>
    <row r="113" spans="1:8">
      <c r="A113" s="70"/>
      <c r="B113" s="70"/>
      <c r="C113" s="70" t="s">
        <v>1053</v>
      </c>
      <c r="D113" s="70">
        <f>0.6*10.75</f>
        <v>6.45</v>
      </c>
      <c r="E113" s="70" t="s">
        <v>1018</v>
      </c>
      <c r="F113" s="70"/>
      <c r="G113" s="180"/>
      <c r="H113" s="180"/>
    </row>
    <row r="114" spans="1:8">
      <c r="A114" s="70"/>
      <c r="B114" s="70"/>
      <c r="C114" s="70" t="s">
        <v>1054</v>
      </c>
      <c r="D114" s="70">
        <f>2*12.3</f>
        <v>24.6</v>
      </c>
      <c r="E114" s="70" t="s">
        <v>1018</v>
      </c>
      <c r="F114" s="70"/>
      <c r="G114" s="180"/>
      <c r="H114" s="180"/>
    </row>
    <row r="115" spans="1:8">
      <c r="A115" s="70"/>
      <c r="B115" s="70"/>
      <c r="C115" s="70" t="s">
        <v>1055</v>
      </c>
      <c r="D115" s="70">
        <f>D114-D113</f>
        <v>18.150000000000002</v>
      </c>
      <c r="E115" s="70" t="s">
        <v>1018</v>
      </c>
      <c r="F115" s="70"/>
      <c r="G115" s="180"/>
      <c r="H115" s="180"/>
    </row>
    <row r="116" spans="1:8">
      <c r="A116" s="70"/>
      <c r="B116" s="70"/>
      <c r="C116" s="70"/>
      <c r="D116" s="70"/>
      <c r="E116" s="70"/>
      <c r="F116" s="70"/>
      <c r="G116" s="180"/>
      <c r="H116" s="180"/>
    </row>
    <row r="117" spans="1:8">
      <c r="A117" s="70"/>
      <c r="B117" s="70"/>
      <c r="C117" s="70" t="s">
        <v>1056</v>
      </c>
      <c r="D117" s="188">
        <f>(9.5*0.6)*2</f>
        <v>11.4</v>
      </c>
      <c r="E117" s="70" t="s">
        <v>1018</v>
      </c>
      <c r="F117" s="70"/>
      <c r="G117" s="180"/>
      <c r="H117" s="180"/>
    </row>
    <row r="118" spans="1:8">
      <c r="A118" s="70"/>
      <c r="B118" s="70"/>
      <c r="C118" s="70"/>
      <c r="D118" s="70"/>
      <c r="E118" s="70"/>
      <c r="F118" s="70"/>
      <c r="G118" s="180"/>
      <c r="H118" s="180"/>
    </row>
    <row r="119" spans="1:8" ht="15.75">
      <c r="A119" s="70"/>
      <c r="B119" s="70"/>
      <c r="C119" s="181" t="s">
        <v>1060</v>
      </c>
      <c r="D119" s="188">
        <f>D117+D115+D112</f>
        <v>130.10500000000002</v>
      </c>
      <c r="E119" s="70" t="s">
        <v>1018</v>
      </c>
      <c r="F119" s="70"/>
      <c r="G119" s="180"/>
      <c r="H119" s="180"/>
    </row>
    <row r="120" spans="1:8" ht="15.75">
      <c r="A120" s="70"/>
      <c r="B120" s="70"/>
      <c r="C120" s="181"/>
      <c r="D120" s="70"/>
      <c r="E120" s="70"/>
      <c r="F120" s="70"/>
      <c r="G120" s="180"/>
      <c r="H120" s="180"/>
    </row>
    <row r="121" spans="1:8" ht="15.75">
      <c r="A121" s="70"/>
      <c r="B121" s="70"/>
      <c r="C121" s="181" t="s">
        <v>1061</v>
      </c>
      <c r="D121" s="181">
        <f>D119+D109+D99+D88</f>
        <v>341.48500000000007</v>
      </c>
      <c r="E121" s="181" t="s">
        <v>1018</v>
      </c>
      <c r="F121" s="70"/>
      <c r="G121" s="180"/>
      <c r="H121" s="180"/>
    </row>
    <row r="122" spans="1:8">
      <c r="A122" s="70"/>
      <c r="B122" s="70"/>
      <c r="C122" s="70"/>
      <c r="D122" s="70"/>
      <c r="E122" s="70"/>
      <c r="F122" s="70"/>
      <c r="G122" s="180"/>
      <c r="H122" s="180"/>
    </row>
    <row r="123" spans="1:8">
      <c r="A123" s="70"/>
      <c r="B123" s="70"/>
      <c r="C123" s="70"/>
      <c r="D123" s="70"/>
      <c r="E123" s="70"/>
      <c r="F123" s="70"/>
      <c r="G123" s="180"/>
      <c r="H123" s="180"/>
    </row>
    <row r="124" spans="1:8" s="98" customFormat="1" ht="30">
      <c r="A124" s="182" t="s">
        <v>1062</v>
      </c>
      <c r="B124" s="178" t="s">
        <v>1063</v>
      </c>
      <c r="C124" s="183" t="s">
        <v>1064</v>
      </c>
      <c r="D124" s="177"/>
      <c r="E124" s="177"/>
      <c r="F124" s="177"/>
      <c r="G124" s="179"/>
      <c r="H124" s="179"/>
    </row>
    <row r="125" spans="1:8">
      <c r="A125" s="70"/>
      <c r="B125" s="70"/>
      <c r="C125" s="70"/>
      <c r="D125" s="70"/>
      <c r="E125" s="70"/>
      <c r="F125" s="70"/>
      <c r="G125" s="180"/>
      <c r="H125" s="180"/>
    </row>
    <row r="126" spans="1:8">
      <c r="A126" s="70"/>
      <c r="B126" s="70" t="s">
        <v>1065</v>
      </c>
      <c r="C126" s="70"/>
      <c r="D126" s="70">
        <f>((13.45*3.15)+(3.9*3.15))*2</f>
        <v>109.30500000000001</v>
      </c>
      <c r="E126" s="70" t="s">
        <v>1018</v>
      </c>
      <c r="F126" s="70"/>
      <c r="G126" s="180"/>
      <c r="H126" s="180"/>
    </row>
    <row r="127" spans="1:8">
      <c r="A127" s="70"/>
      <c r="B127" s="70"/>
      <c r="C127" s="70"/>
      <c r="D127" s="70"/>
      <c r="E127" s="70"/>
      <c r="F127" s="70"/>
      <c r="G127" s="180"/>
      <c r="H127" s="180"/>
    </row>
    <row r="128" spans="1:8">
      <c r="A128" s="70"/>
      <c r="B128" s="70" t="s">
        <v>1066</v>
      </c>
      <c r="C128" s="70"/>
      <c r="D128" s="70">
        <f>((13.45*3.15)+(3.9*3.15))*2</f>
        <v>109.30500000000001</v>
      </c>
      <c r="E128" s="70" t="s">
        <v>1018</v>
      </c>
      <c r="F128" s="70"/>
      <c r="G128" s="180"/>
      <c r="H128" s="180"/>
    </row>
    <row r="129" spans="1:8">
      <c r="A129" s="70"/>
      <c r="B129" s="70"/>
      <c r="C129" s="70"/>
      <c r="D129" s="70"/>
      <c r="E129" s="70"/>
      <c r="F129" s="70"/>
      <c r="G129" s="180"/>
      <c r="H129" s="180"/>
    </row>
    <row r="130" spans="1:8" ht="15.75">
      <c r="A130" s="70"/>
      <c r="B130" s="190" t="s">
        <v>1067</v>
      </c>
      <c r="C130" s="181"/>
      <c r="D130" s="190">
        <f>((14.7*3.65)+(4.4*3.65))*2</f>
        <v>139.43</v>
      </c>
      <c r="E130" s="190" t="s">
        <v>1018</v>
      </c>
      <c r="F130" s="70"/>
      <c r="G130" s="180"/>
      <c r="H130" s="180"/>
    </row>
    <row r="131" spans="1:8" ht="15.75">
      <c r="A131" s="70"/>
      <c r="B131" s="181"/>
      <c r="C131" s="181"/>
      <c r="D131" s="181"/>
      <c r="E131" s="181"/>
      <c r="F131" s="70"/>
      <c r="G131" s="180"/>
      <c r="H131" s="180"/>
    </row>
    <row r="132" spans="1:8">
      <c r="A132" s="70"/>
      <c r="B132" s="177" t="s">
        <v>1068</v>
      </c>
      <c r="C132" s="70"/>
      <c r="D132" s="177">
        <f>D130+D128+D126</f>
        <v>358.04</v>
      </c>
      <c r="E132" s="177" t="s">
        <v>1018</v>
      </c>
      <c r="F132" s="70"/>
      <c r="G132" s="180"/>
      <c r="H132" s="180"/>
    </row>
    <row r="133" spans="1:8">
      <c r="A133" s="70"/>
      <c r="B133" s="70"/>
      <c r="C133" s="70"/>
      <c r="D133" s="70"/>
      <c r="E133" s="70"/>
      <c r="F133" s="70"/>
      <c r="G133" s="180"/>
      <c r="H133" s="180"/>
    </row>
    <row r="134" spans="1:8">
      <c r="A134" s="70"/>
      <c r="B134" s="70"/>
      <c r="C134" s="70"/>
      <c r="D134" s="70"/>
      <c r="E134" s="70"/>
      <c r="F134" s="70"/>
      <c r="G134" s="70"/>
      <c r="H134" s="70"/>
    </row>
    <row r="135" spans="1:8">
      <c r="A135" s="70"/>
      <c r="B135" s="70"/>
      <c r="C135" s="70"/>
      <c r="D135" s="70"/>
      <c r="E135" s="70"/>
      <c r="F135" s="70"/>
      <c r="G135" s="70"/>
      <c r="H135" s="70"/>
    </row>
    <row r="136" spans="1:8" s="98" customFormat="1">
      <c r="A136" s="182" t="s">
        <v>1069</v>
      </c>
      <c r="B136" s="178" t="s">
        <v>1070</v>
      </c>
      <c r="C136" s="183" t="s">
        <v>1071</v>
      </c>
      <c r="D136" s="177"/>
      <c r="E136" s="177"/>
      <c r="F136" s="177"/>
      <c r="G136" s="177"/>
      <c r="H136" s="177"/>
    </row>
    <row r="137" spans="1:8">
      <c r="A137" s="70"/>
      <c r="B137" s="70"/>
      <c r="C137" s="70"/>
      <c r="D137" s="70"/>
      <c r="E137" s="70"/>
      <c r="F137" s="70"/>
      <c r="G137" s="70"/>
      <c r="H137" s="70"/>
    </row>
    <row r="138" spans="1:8">
      <c r="A138" s="70"/>
      <c r="B138" s="70"/>
      <c r="C138" s="70"/>
      <c r="D138" s="70"/>
      <c r="E138" s="70"/>
      <c r="F138" s="70"/>
      <c r="G138" s="70"/>
      <c r="H138" s="70"/>
    </row>
    <row r="139" spans="1:8">
      <c r="A139" s="70"/>
      <c r="B139" s="70"/>
      <c r="C139" s="70" t="s">
        <v>1072</v>
      </c>
      <c r="D139" s="191">
        <f>'Orç. Laudo Pericial bloco C'!E16*G139*G140*0.25</f>
        <v>9.4247779607693816E-2</v>
      </c>
      <c r="E139" s="70" t="s">
        <v>1024</v>
      </c>
      <c r="F139" s="189" t="s">
        <v>1042</v>
      </c>
      <c r="G139" s="70">
        <f>PI()</f>
        <v>3.1415926535897931</v>
      </c>
      <c r="H139" s="70"/>
    </row>
    <row r="140" spans="1:8">
      <c r="A140" s="70"/>
      <c r="B140" s="70"/>
      <c r="C140" s="70"/>
      <c r="D140" s="70"/>
      <c r="E140" s="70"/>
      <c r="F140" s="189" t="s">
        <v>1043</v>
      </c>
      <c r="G140" s="70">
        <f>0.05*0.05</f>
        <v>2.5000000000000005E-3</v>
      </c>
      <c r="H140" s="70"/>
    </row>
    <row r="141" spans="1:8">
      <c r="A141" s="70"/>
      <c r="B141" s="70"/>
      <c r="C141" s="70"/>
      <c r="D141" s="192"/>
      <c r="E141" s="70"/>
      <c r="F141" s="189"/>
      <c r="G141" s="70"/>
      <c r="H141" s="70"/>
    </row>
    <row r="142" spans="1:8">
      <c r="A142" s="70"/>
      <c r="B142" s="70"/>
      <c r="C142" s="70"/>
      <c r="D142" s="70"/>
      <c r="E142" s="70"/>
      <c r="F142" s="70"/>
      <c r="G142" s="70"/>
      <c r="H142" s="70"/>
    </row>
    <row r="143" spans="1:8" ht="15.75">
      <c r="A143" s="70"/>
      <c r="B143" s="70"/>
      <c r="C143" s="181"/>
      <c r="D143" s="181"/>
      <c r="E143" s="181"/>
      <c r="F143" s="70"/>
      <c r="G143" s="70"/>
      <c r="H143" s="70"/>
    </row>
    <row r="144" spans="1:8">
      <c r="A144" s="70"/>
      <c r="B144" s="70"/>
      <c r="C144" s="70"/>
      <c r="D144" s="70"/>
      <c r="E144" s="70"/>
      <c r="F144" s="70"/>
      <c r="G144" s="70"/>
      <c r="H144" s="70"/>
    </row>
    <row r="145" spans="1:8">
      <c r="A145" s="70"/>
      <c r="B145" s="70"/>
      <c r="C145" s="70"/>
      <c r="D145" s="70"/>
      <c r="E145" s="70"/>
      <c r="F145" s="70"/>
      <c r="G145" s="70"/>
      <c r="H145" s="70"/>
    </row>
    <row r="146" spans="1:8">
      <c r="A146" s="70"/>
      <c r="B146" s="70"/>
      <c r="C146" s="70"/>
      <c r="D146" s="70"/>
      <c r="E146" s="70"/>
      <c r="F146" s="70"/>
      <c r="G146" s="70"/>
      <c r="H146" s="70"/>
    </row>
    <row r="147" spans="1:8" s="98" customFormat="1">
      <c r="A147" s="182" t="s">
        <v>1073</v>
      </c>
      <c r="B147" s="178" t="s">
        <v>1074</v>
      </c>
      <c r="C147" s="183" t="s">
        <v>1075</v>
      </c>
      <c r="D147" s="177"/>
      <c r="E147" s="177"/>
      <c r="F147" s="177"/>
      <c r="G147" s="179"/>
      <c r="H147" s="179"/>
    </row>
    <row r="148" spans="1:8">
      <c r="A148" s="184"/>
      <c r="B148" s="185"/>
      <c r="C148" s="186"/>
      <c r="D148" s="70"/>
      <c r="E148" s="70"/>
      <c r="F148" s="70"/>
      <c r="G148" s="180"/>
      <c r="H148" s="180"/>
    </row>
    <row r="149" spans="1:8">
      <c r="A149" s="184"/>
      <c r="B149" s="70" t="s">
        <v>1029</v>
      </c>
      <c r="C149" s="70"/>
      <c r="D149" s="70"/>
      <c r="E149" s="70"/>
      <c r="F149" s="70"/>
      <c r="G149" s="180"/>
      <c r="H149" s="180"/>
    </row>
    <row r="150" spans="1:8">
      <c r="A150" s="184"/>
      <c r="B150" s="70"/>
      <c r="C150" s="70" t="s">
        <v>1030</v>
      </c>
      <c r="D150" s="70">
        <f>(0.6*10.5*0.65)+(11.05*2.5*1.5)</f>
        <v>45.532499999999999</v>
      </c>
      <c r="E150" s="70" t="s">
        <v>1024</v>
      </c>
      <c r="F150" s="70"/>
      <c r="G150" s="180"/>
      <c r="H150" s="180"/>
    </row>
    <row r="151" spans="1:8">
      <c r="A151" s="184"/>
      <c r="B151" s="70"/>
      <c r="C151" s="70" t="s">
        <v>1031</v>
      </c>
      <c r="D151" s="70">
        <f>(3.9*13.45*(0.65+2.5))</f>
        <v>165.23325</v>
      </c>
      <c r="E151" s="70" t="s">
        <v>1024</v>
      </c>
      <c r="F151" s="70"/>
      <c r="G151" s="180"/>
      <c r="H151" s="180"/>
    </row>
    <row r="152" spans="1:8" ht="15.75">
      <c r="A152" s="184"/>
      <c r="B152" s="70"/>
      <c r="C152" s="70" t="s">
        <v>1076</v>
      </c>
      <c r="D152" s="187">
        <f>D151-D150</f>
        <v>119.70075</v>
      </c>
      <c r="E152" s="70" t="s">
        <v>1024</v>
      </c>
      <c r="F152" s="70"/>
      <c r="G152" s="180"/>
      <c r="H152" s="180"/>
    </row>
    <row r="153" spans="1:8">
      <c r="A153" s="184"/>
      <c r="B153" s="185"/>
      <c r="C153" s="186"/>
      <c r="D153" s="70"/>
      <c r="E153" s="70"/>
      <c r="F153" s="70"/>
      <c r="G153" s="180"/>
      <c r="H153" s="180"/>
    </row>
    <row r="154" spans="1:8">
      <c r="A154" s="184"/>
      <c r="B154" s="185"/>
      <c r="C154" s="186"/>
      <c r="D154" s="70"/>
      <c r="E154" s="70"/>
      <c r="F154" s="70"/>
      <c r="G154" s="180"/>
      <c r="H154" s="180"/>
    </row>
    <row r="155" spans="1:8">
      <c r="A155" s="184"/>
      <c r="B155" s="70" t="s">
        <v>1033</v>
      </c>
      <c r="C155" s="70"/>
      <c r="D155" s="70"/>
      <c r="E155" s="70"/>
      <c r="F155" s="70"/>
      <c r="G155" s="180"/>
      <c r="H155" s="180"/>
    </row>
    <row r="156" spans="1:8">
      <c r="A156" s="184"/>
      <c r="B156" s="70"/>
      <c r="C156" s="70" t="s">
        <v>1030</v>
      </c>
      <c r="D156" s="70">
        <f>(0.6*10.5*0.65)+(11.05*2.5*1.5)</f>
        <v>45.532499999999999</v>
      </c>
      <c r="E156" s="70" t="s">
        <v>1024</v>
      </c>
      <c r="F156" s="70"/>
      <c r="G156" s="180"/>
      <c r="H156" s="180"/>
    </row>
    <row r="157" spans="1:8">
      <c r="A157" s="184"/>
      <c r="B157" s="70"/>
      <c r="C157" s="70" t="s">
        <v>1031</v>
      </c>
      <c r="D157" s="70">
        <f>(3.9*13.45*(0.65+2.5))</f>
        <v>165.23325</v>
      </c>
      <c r="E157" s="70" t="s">
        <v>1024</v>
      </c>
      <c r="F157" s="70"/>
      <c r="G157" s="180"/>
      <c r="H157" s="180"/>
    </row>
    <row r="158" spans="1:8" ht="15.75">
      <c r="A158" s="184"/>
      <c r="B158" s="70"/>
      <c r="C158" s="70" t="s">
        <v>1076</v>
      </c>
      <c r="D158" s="187">
        <f>D157-D156</f>
        <v>119.70075</v>
      </c>
      <c r="E158" s="70" t="s">
        <v>1024</v>
      </c>
      <c r="F158" s="70"/>
      <c r="G158" s="180"/>
      <c r="H158" s="180"/>
    </row>
    <row r="159" spans="1:8">
      <c r="A159" s="184"/>
      <c r="B159" s="185"/>
      <c r="C159" s="186"/>
      <c r="D159" s="70"/>
      <c r="E159" s="70"/>
      <c r="F159" s="70"/>
      <c r="G159" s="180"/>
      <c r="H159" s="180"/>
    </row>
    <row r="160" spans="1:8">
      <c r="A160" s="70"/>
      <c r="B160" s="70"/>
      <c r="C160" s="70"/>
      <c r="D160" s="70"/>
      <c r="E160" s="70"/>
      <c r="F160" s="70"/>
      <c r="G160" s="180"/>
      <c r="H160" s="180"/>
    </row>
    <row r="161" spans="1:8">
      <c r="A161" s="70"/>
      <c r="B161" s="70" t="s">
        <v>1025</v>
      </c>
      <c r="C161" s="70"/>
      <c r="D161" s="70"/>
      <c r="E161" s="70"/>
      <c r="F161" s="70"/>
      <c r="G161" s="180"/>
      <c r="H161" s="180"/>
    </row>
    <row r="162" spans="1:8">
      <c r="A162" s="70"/>
      <c r="B162" s="70"/>
      <c r="C162" s="70" t="s">
        <v>1030</v>
      </c>
      <c r="D162" s="70">
        <f>(0.6*10.75*0.65)+(12.3*3*2)</f>
        <v>77.992500000000007</v>
      </c>
      <c r="E162" s="70" t="s">
        <v>1024</v>
      </c>
      <c r="F162" s="70"/>
      <c r="G162" s="180"/>
      <c r="H162" s="180"/>
    </row>
    <row r="163" spans="1:8">
      <c r="A163" s="70"/>
      <c r="B163" s="70"/>
      <c r="C163" s="70" t="s">
        <v>1031</v>
      </c>
      <c r="D163" s="70">
        <f>(4.4*14.7*(0.65+3))</f>
        <v>236.08200000000002</v>
      </c>
      <c r="E163" s="70" t="s">
        <v>1024</v>
      </c>
      <c r="F163" s="70"/>
      <c r="G163" s="180"/>
      <c r="H163" s="180"/>
    </row>
    <row r="164" spans="1:8" ht="15.75">
      <c r="A164" s="70"/>
      <c r="B164" s="70"/>
      <c r="C164" s="70" t="s">
        <v>1076</v>
      </c>
      <c r="D164" s="187">
        <f>D163-D162</f>
        <v>158.08950000000002</v>
      </c>
      <c r="E164" s="70" t="s">
        <v>1024</v>
      </c>
      <c r="F164" s="70"/>
      <c r="G164" s="180"/>
      <c r="H164" s="180"/>
    </row>
    <row r="165" spans="1:8">
      <c r="A165" s="70"/>
      <c r="B165" s="70"/>
      <c r="C165" s="70"/>
      <c r="D165" s="70"/>
      <c r="E165" s="70"/>
      <c r="F165" s="70"/>
      <c r="G165" s="180"/>
      <c r="H165" s="180"/>
    </row>
    <row r="166" spans="1:8">
      <c r="A166" s="70"/>
      <c r="B166" s="70"/>
      <c r="C166" s="70"/>
      <c r="D166" s="70"/>
      <c r="E166" s="70"/>
      <c r="F166" s="70"/>
      <c r="G166" s="180"/>
      <c r="H166" s="180"/>
    </row>
    <row r="167" spans="1:8">
      <c r="A167" s="70"/>
      <c r="B167" s="70"/>
      <c r="C167" s="70"/>
      <c r="D167" s="70"/>
      <c r="E167" s="70"/>
      <c r="F167" s="70"/>
      <c r="G167" s="180"/>
      <c r="H167" s="180"/>
    </row>
    <row r="168" spans="1:8" ht="15.75">
      <c r="A168" s="70"/>
      <c r="B168" s="70"/>
      <c r="C168" s="181" t="s">
        <v>1077</v>
      </c>
      <c r="D168" s="187">
        <f>D164+D158+D152</f>
        <v>397.49099999999999</v>
      </c>
      <c r="E168" s="181" t="s">
        <v>1024</v>
      </c>
      <c r="F168" s="70"/>
      <c r="G168" s="180"/>
      <c r="H168" s="180"/>
    </row>
    <row r="169" spans="1:8">
      <c r="A169" s="49"/>
      <c r="B169" s="49"/>
      <c r="C169" s="49"/>
      <c r="D169" s="49"/>
      <c r="E169" s="49"/>
      <c r="F169" s="49"/>
      <c r="G169" s="766"/>
      <c r="H169" s="766"/>
    </row>
  </sheetData>
  <mergeCells count="4">
    <mergeCell ref="C1:D1"/>
    <mergeCell ref="A2:E2"/>
    <mergeCell ref="A3:E3"/>
    <mergeCell ref="A4:E4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34"/>
  <sheetViews>
    <sheetView workbookViewId="0">
      <selection activeCell="A4" sqref="A4"/>
    </sheetView>
  </sheetViews>
  <sheetFormatPr defaultColWidth="10.140625" defaultRowHeight="15"/>
  <cols>
    <col min="1" max="1" width="22.85546875" style="59" customWidth="1"/>
    <col min="2" max="2" width="7.28515625" style="72" customWidth="1"/>
    <col min="3" max="3" width="60" style="71" customWidth="1"/>
    <col min="4" max="4" width="8.5703125" style="3" customWidth="1"/>
    <col min="5" max="5" width="10.140625" style="73"/>
    <col min="6" max="6" width="16.42578125" style="74" bestFit="1" customWidth="1"/>
    <col min="7" max="7" width="16.7109375" style="75" customWidth="1"/>
    <col min="8" max="8" width="20.140625" style="59" bestFit="1" customWidth="1"/>
    <col min="9" max="9" width="17.5703125" style="59" bestFit="1" customWidth="1"/>
    <col min="10" max="10" width="18.5703125" style="59" bestFit="1" customWidth="1"/>
    <col min="11" max="16384" width="10.140625" style="59"/>
  </cols>
  <sheetData>
    <row r="1" spans="1:9">
      <c r="A1" s="992" t="s">
        <v>1078</v>
      </c>
      <c r="B1" s="993"/>
      <c r="C1" s="993"/>
      <c r="D1" s="993"/>
      <c r="E1" s="993"/>
      <c r="F1" s="993"/>
      <c r="G1" s="993"/>
      <c r="H1" s="994"/>
      <c r="I1" s="766"/>
    </row>
    <row r="2" spans="1:9">
      <c r="A2" s="983" t="s">
        <v>1079</v>
      </c>
      <c r="B2" s="984"/>
      <c r="C2" s="984"/>
      <c r="D2" s="984"/>
      <c r="E2" s="984"/>
      <c r="F2" s="984"/>
      <c r="G2" s="984"/>
      <c r="H2" s="985"/>
      <c r="I2" s="766"/>
    </row>
    <row r="3" spans="1:9" ht="18.75">
      <c r="A3" s="80" t="s">
        <v>1012</v>
      </c>
      <c r="B3" s="81"/>
      <c r="C3" s="81"/>
      <c r="D3" s="81"/>
      <c r="E3" s="81"/>
      <c r="F3" s="81"/>
      <c r="G3" s="81"/>
      <c r="H3" s="82"/>
      <c r="I3" s="766"/>
    </row>
    <row r="4" spans="1:9" ht="18.75">
      <c r="A4" s="537" t="s">
        <v>1080</v>
      </c>
      <c r="B4" s="83"/>
      <c r="C4" s="83"/>
      <c r="D4" s="83"/>
      <c r="E4" s="83"/>
      <c r="F4" s="83"/>
      <c r="G4" s="83"/>
      <c r="H4" s="84"/>
      <c r="I4" s="766"/>
    </row>
    <row r="5" spans="1:9" s="76" customFormat="1" ht="30">
      <c r="A5" s="847" t="s">
        <v>1081</v>
      </c>
      <c r="B5" s="134" t="s">
        <v>1082</v>
      </c>
      <c r="C5" s="135" t="s">
        <v>1083</v>
      </c>
      <c r="D5" s="135" t="s">
        <v>1084</v>
      </c>
      <c r="E5" s="136" t="s">
        <v>1085</v>
      </c>
      <c r="F5" s="137" t="s">
        <v>1086</v>
      </c>
      <c r="G5" s="138" t="s">
        <v>1087</v>
      </c>
      <c r="H5" s="139" t="s">
        <v>1088</v>
      </c>
      <c r="I5" s="141"/>
    </row>
    <row r="6" spans="1:9" s="77" customFormat="1">
      <c r="A6" s="175"/>
      <c r="B6" s="142" t="s">
        <v>1089</v>
      </c>
      <c r="C6" s="143" t="s">
        <v>1090</v>
      </c>
      <c r="D6" s="85"/>
      <c r="E6" s="144"/>
      <c r="F6" s="145"/>
      <c r="G6" s="146"/>
      <c r="H6" s="147"/>
    </row>
    <row r="7" spans="1:9" s="77" customFormat="1">
      <c r="A7" s="822" t="s">
        <v>1091</v>
      </c>
      <c r="B7" s="538" t="s">
        <v>30</v>
      </c>
      <c r="C7" s="174" t="s">
        <v>1092</v>
      </c>
      <c r="D7" s="173" t="s">
        <v>1093</v>
      </c>
      <c r="E7" s="169">
        <v>2</v>
      </c>
      <c r="F7" s="170">
        <v>337.83</v>
      </c>
      <c r="G7" s="158">
        <f>E7*F7</f>
        <v>675.66</v>
      </c>
      <c r="H7" s="159">
        <f>G7</f>
        <v>675.66</v>
      </c>
    </row>
    <row r="8" spans="1:9" s="77" customFormat="1">
      <c r="A8" s="822" t="s">
        <v>1094</v>
      </c>
      <c r="B8" s="538" t="s">
        <v>32</v>
      </c>
      <c r="C8" s="174" t="s">
        <v>1095</v>
      </c>
      <c r="D8" s="173" t="s">
        <v>1093</v>
      </c>
      <c r="E8" s="169">
        <v>100</v>
      </c>
      <c r="F8" s="170">
        <v>9.99</v>
      </c>
      <c r="G8" s="158">
        <f>E8*F8</f>
        <v>999</v>
      </c>
      <c r="H8" s="159">
        <f>G8</f>
        <v>999</v>
      </c>
    </row>
    <row r="9" spans="1:9" s="77" customFormat="1" ht="17.25" customHeight="1">
      <c r="A9" s="822">
        <v>5824</v>
      </c>
      <c r="B9" s="538" t="s">
        <v>34</v>
      </c>
      <c r="C9" s="174" t="s">
        <v>1096</v>
      </c>
      <c r="D9" s="173" t="s">
        <v>1097</v>
      </c>
      <c r="E9" s="169">
        <v>12</v>
      </c>
      <c r="F9" s="170">
        <v>140.47999999999999</v>
      </c>
      <c r="G9" s="158">
        <f>E9*F9</f>
        <v>1685.7599999999998</v>
      </c>
      <c r="H9" s="159">
        <f>G9</f>
        <v>1685.7599999999998</v>
      </c>
    </row>
    <row r="10" spans="1:9" s="77" customFormat="1">
      <c r="A10" s="540">
        <v>97629</v>
      </c>
      <c r="B10" s="538" t="s">
        <v>36</v>
      </c>
      <c r="C10" s="154" t="s">
        <v>1098</v>
      </c>
      <c r="D10" s="155" t="s">
        <v>1024</v>
      </c>
      <c r="E10" s="156">
        <v>11.71</v>
      </c>
      <c r="F10" s="170">
        <v>105.72</v>
      </c>
      <c r="G10" s="842">
        <f>E10*F10</f>
        <v>1237.9812000000002</v>
      </c>
      <c r="H10" s="159">
        <f>G10</f>
        <v>1237.9812000000002</v>
      </c>
    </row>
    <row r="11" spans="1:9" s="77" customFormat="1" ht="30">
      <c r="A11" s="540" t="s">
        <v>1099</v>
      </c>
      <c r="B11" s="538" t="s">
        <v>38</v>
      </c>
      <c r="C11" s="154" t="s">
        <v>1100</v>
      </c>
      <c r="D11" s="155" t="s">
        <v>1024</v>
      </c>
      <c r="E11" s="156">
        <v>397.49</v>
      </c>
      <c r="F11" s="157">
        <v>60.76</v>
      </c>
      <c r="G11" s="158">
        <f t="shared" ref="G11:G19" si="0">E11*F11</f>
        <v>24151.492399999999</v>
      </c>
      <c r="H11" s="159">
        <f t="shared" ref="H11:H22" si="1">G11</f>
        <v>24151.492399999999</v>
      </c>
    </row>
    <row r="12" spans="1:9" s="77" customFormat="1" ht="45">
      <c r="A12" s="540" t="s">
        <v>1101</v>
      </c>
      <c r="B12" s="538" t="s">
        <v>40</v>
      </c>
      <c r="C12" s="154" t="s">
        <v>1102</v>
      </c>
      <c r="D12" s="155" t="s">
        <v>1018</v>
      </c>
      <c r="E12" s="156">
        <v>358.1</v>
      </c>
      <c r="F12" s="157">
        <v>26.93</v>
      </c>
      <c r="G12" s="158">
        <f t="shared" si="0"/>
        <v>9643.6329999999998</v>
      </c>
      <c r="H12" s="159">
        <f t="shared" si="1"/>
        <v>9643.6329999999998</v>
      </c>
    </row>
    <row r="13" spans="1:9" s="77" customFormat="1">
      <c r="A13" s="540">
        <v>99814</v>
      </c>
      <c r="B13" s="538" t="s">
        <v>42</v>
      </c>
      <c r="C13" s="154" t="s">
        <v>1048</v>
      </c>
      <c r="D13" s="155" t="s">
        <v>1018</v>
      </c>
      <c r="E13" s="156">
        <v>341.45</v>
      </c>
      <c r="F13" s="157">
        <v>1.57</v>
      </c>
      <c r="G13" s="158">
        <f t="shared" si="0"/>
        <v>536.07650000000001</v>
      </c>
      <c r="H13" s="159">
        <f t="shared" si="1"/>
        <v>536.07650000000001</v>
      </c>
    </row>
    <row r="14" spans="1:9" s="77" customFormat="1" ht="45">
      <c r="A14" s="540">
        <v>101105</v>
      </c>
      <c r="B14" s="538" t="s">
        <v>44</v>
      </c>
      <c r="C14" s="154" t="s">
        <v>1103</v>
      </c>
      <c r="D14" s="155" t="s">
        <v>1024</v>
      </c>
      <c r="E14" s="156">
        <v>62.21</v>
      </c>
      <c r="F14" s="157">
        <v>880.95</v>
      </c>
      <c r="G14" s="158">
        <f t="shared" si="0"/>
        <v>54803.899500000007</v>
      </c>
      <c r="H14" s="159">
        <f t="shared" si="1"/>
        <v>54803.899500000007</v>
      </c>
    </row>
    <row r="15" spans="1:9" s="77" customFormat="1">
      <c r="A15" s="540">
        <v>94319</v>
      </c>
      <c r="B15" s="538" t="s">
        <v>46</v>
      </c>
      <c r="C15" s="154" t="s">
        <v>1075</v>
      </c>
      <c r="D15" s="155" t="s">
        <v>1024</v>
      </c>
      <c r="E15" s="156">
        <v>397.5</v>
      </c>
      <c r="F15" s="157">
        <v>37.15</v>
      </c>
      <c r="G15" s="158">
        <f t="shared" si="0"/>
        <v>14767.125</v>
      </c>
      <c r="H15" s="159">
        <f t="shared" si="1"/>
        <v>14767.125</v>
      </c>
    </row>
    <row r="16" spans="1:9" s="77" customFormat="1">
      <c r="A16" s="540">
        <v>90441</v>
      </c>
      <c r="B16" s="538" t="s">
        <v>48</v>
      </c>
      <c r="C16" s="154" t="s">
        <v>1104</v>
      </c>
      <c r="D16" s="155" t="s">
        <v>1105</v>
      </c>
      <c r="E16" s="156">
        <f>8*6</f>
        <v>48</v>
      </c>
      <c r="F16" s="157">
        <v>112.76</v>
      </c>
      <c r="G16" s="158">
        <f t="shared" si="0"/>
        <v>5412.4800000000005</v>
      </c>
      <c r="H16" s="159">
        <f t="shared" si="1"/>
        <v>5412.4800000000005</v>
      </c>
    </row>
    <row r="17" spans="1:9" s="77" customFormat="1">
      <c r="A17" s="540">
        <v>2707</v>
      </c>
      <c r="B17" s="538" t="s">
        <v>50</v>
      </c>
      <c r="C17" s="154" t="s">
        <v>919</v>
      </c>
      <c r="D17" s="155" t="s">
        <v>1106</v>
      </c>
      <c r="E17" s="156">
        <v>120</v>
      </c>
      <c r="F17" s="157">
        <v>103.36</v>
      </c>
      <c r="G17" s="158">
        <f t="shared" si="0"/>
        <v>12403.2</v>
      </c>
      <c r="H17" s="159">
        <f t="shared" si="1"/>
        <v>12403.2</v>
      </c>
    </row>
    <row r="18" spans="1:9" s="77" customFormat="1">
      <c r="A18" s="539" t="s">
        <v>1107</v>
      </c>
      <c r="B18" s="779" t="s">
        <v>1108</v>
      </c>
      <c r="C18" s="154"/>
      <c r="D18" s="155"/>
      <c r="E18" s="156"/>
      <c r="F18" s="157"/>
      <c r="G18" s="158"/>
      <c r="H18" s="159"/>
    </row>
    <row r="19" spans="1:9" s="77" customFormat="1">
      <c r="A19" s="540" t="s">
        <v>1109</v>
      </c>
      <c r="B19" s="538" t="s">
        <v>68</v>
      </c>
      <c r="C19" s="154" t="s">
        <v>1110</v>
      </c>
      <c r="D19" s="155" t="s">
        <v>1111</v>
      </c>
      <c r="E19" s="156">
        <f>'Memorial quant. bloco C'!D139</f>
        <v>9.4247779607693816E-2</v>
      </c>
      <c r="F19" s="157">
        <f>CPU!H7</f>
        <v>3294.4764319999999</v>
      </c>
      <c r="G19" s="158">
        <f t="shared" si="0"/>
        <v>310.49708868587749</v>
      </c>
      <c r="H19" s="159">
        <f t="shared" si="1"/>
        <v>310.49708868587749</v>
      </c>
    </row>
    <row r="20" spans="1:9" s="77" customFormat="1">
      <c r="A20" s="539"/>
      <c r="B20" s="779" t="s">
        <v>1112</v>
      </c>
      <c r="C20" s="154"/>
      <c r="D20" s="155"/>
      <c r="E20" s="156"/>
      <c r="F20" s="157"/>
      <c r="G20" s="158"/>
      <c r="H20" s="159"/>
    </row>
    <row r="21" spans="1:9" s="77" customFormat="1">
      <c r="A21" s="841" t="s">
        <v>1113</v>
      </c>
      <c r="B21" s="538" t="s">
        <v>297</v>
      </c>
      <c r="C21" s="843" t="s">
        <v>1114</v>
      </c>
      <c r="D21" s="844" t="s">
        <v>1115</v>
      </c>
      <c r="E21" s="171">
        <v>16</v>
      </c>
      <c r="F21" s="172">
        <v>3.17</v>
      </c>
      <c r="G21" s="845">
        <f>E21*F21</f>
        <v>50.72</v>
      </c>
      <c r="H21" s="846">
        <f>G21</f>
        <v>50.72</v>
      </c>
    </row>
    <row r="22" spans="1:9" s="77" customFormat="1">
      <c r="A22" s="540" t="s">
        <v>1116</v>
      </c>
      <c r="B22" s="538" t="s">
        <v>297</v>
      </c>
      <c r="C22" s="154" t="s">
        <v>1117</v>
      </c>
      <c r="D22" s="155" t="s">
        <v>1105</v>
      </c>
      <c r="E22" s="171">
        <v>16</v>
      </c>
      <c r="F22" s="172">
        <v>17.46</v>
      </c>
      <c r="G22" s="158">
        <f>E22*F22</f>
        <v>279.36</v>
      </c>
      <c r="H22" s="159">
        <f t="shared" si="1"/>
        <v>279.36</v>
      </c>
      <c r="I22" s="830"/>
    </row>
    <row r="23" spans="1:9" s="77" customFormat="1">
      <c r="A23" s="540"/>
      <c r="B23" s="538"/>
      <c r="C23" s="154"/>
      <c r="D23" s="155"/>
      <c r="E23" s="156"/>
      <c r="F23" s="157"/>
      <c r="G23" s="158"/>
      <c r="H23" s="159"/>
    </row>
    <row r="24" spans="1:9" ht="15.75" thickBot="1">
      <c r="A24" s="823"/>
      <c r="B24" s="161"/>
      <c r="C24" s="168" t="s">
        <v>1118</v>
      </c>
      <c r="D24" s="162"/>
      <c r="E24" s="163"/>
      <c r="F24" s="164"/>
      <c r="G24" s="165"/>
      <c r="H24" s="166">
        <f>SUM(H7:H22)</f>
        <v>126956.88468868588</v>
      </c>
      <c r="I24" s="766"/>
    </row>
    <row r="26" spans="1:9" ht="33" customHeight="1">
      <c r="A26" s="766"/>
      <c r="C26" s="995" t="s">
        <v>1119</v>
      </c>
      <c r="D26" s="995"/>
      <c r="E26" s="995"/>
      <c r="F26" s="995"/>
      <c r="G26" s="995"/>
      <c r="H26" s="995"/>
      <c r="I26" s="766"/>
    </row>
    <row r="27" spans="1:9">
      <c r="A27" s="766"/>
      <c r="C27" s="642"/>
      <c r="D27" s="884"/>
      <c r="H27" s="78"/>
      <c r="I27" s="766"/>
    </row>
    <row r="29" spans="1:9">
      <c r="A29" s="766"/>
      <c r="C29" s="642" t="s">
        <v>1120</v>
      </c>
      <c r="D29" s="884"/>
      <c r="H29" s="766"/>
      <c r="I29" s="766"/>
    </row>
    <row r="30" spans="1:9">
      <c r="A30" s="766"/>
      <c r="C30" s="642" t="s">
        <v>1121</v>
      </c>
      <c r="D30" s="884"/>
      <c r="H30" s="766"/>
      <c r="I30" s="766"/>
    </row>
    <row r="31" spans="1:9">
      <c r="A31" s="766"/>
      <c r="C31" s="642" t="s">
        <v>1122</v>
      </c>
      <c r="D31" s="884"/>
      <c r="H31" s="766"/>
      <c r="I31" s="766"/>
    </row>
    <row r="33" spans="3:7">
      <c r="C33" s="828"/>
      <c r="D33" s="77"/>
      <c r="E33" s="77"/>
      <c r="F33" s="77"/>
      <c r="G33" s="77"/>
    </row>
    <row r="34" spans="3:7">
      <c r="C34" s="642"/>
      <c r="D34" s="77"/>
      <c r="E34" s="829"/>
      <c r="F34" s="829"/>
      <c r="G34" s="829"/>
    </row>
  </sheetData>
  <mergeCells count="3">
    <mergeCell ref="A1:H1"/>
    <mergeCell ref="A2:H2"/>
    <mergeCell ref="C26:H26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3"/>
  <sheetViews>
    <sheetView workbookViewId="0">
      <selection activeCell="A4" sqref="A4"/>
    </sheetView>
  </sheetViews>
  <sheetFormatPr defaultColWidth="10.140625" defaultRowHeight="15"/>
  <cols>
    <col min="1" max="1" width="22" style="59" customWidth="1"/>
    <col min="2" max="2" width="7.28515625" style="72" customWidth="1"/>
    <col min="3" max="3" width="60" style="71" customWidth="1"/>
    <col min="4" max="4" width="8.5703125" style="3" customWidth="1"/>
    <col min="5" max="5" width="10.140625" style="73"/>
    <col min="6" max="6" width="16.42578125" style="74" bestFit="1" customWidth="1"/>
    <col min="7" max="7" width="16.7109375" style="75" customWidth="1"/>
    <col min="8" max="8" width="20.140625" style="59" bestFit="1" customWidth="1"/>
    <col min="9" max="9" width="10.140625" style="59"/>
    <col min="10" max="10" width="17.5703125" style="59" bestFit="1" customWidth="1"/>
    <col min="11" max="16384" width="10.140625" style="59"/>
  </cols>
  <sheetData>
    <row r="1" spans="1:10">
      <c r="A1" s="992" t="s">
        <v>1078</v>
      </c>
      <c r="B1" s="993"/>
      <c r="C1" s="993"/>
      <c r="D1" s="993"/>
      <c r="E1" s="993"/>
      <c r="F1" s="993"/>
      <c r="G1" s="993"/>
      <c r="H1" s="994"/>
      <c r="I1" s="766"/>
      <c r="J1" s="766"/>
    </row>
    <row r="2" spans="1:10">
      <c r="A2" s="983" t="s">
        <v>1123</v>
      </c>
      <c r="B2" s="984"/>
      <c r="C2" s="984"/>
      <c r="D2" s="984"/>
      <c r="E2" s="984"/>
      <c r="F2" s="984"/>
      <c r="G2" s="984"/>
      <c r="H2" s="985"/>
      <c r="I2" s="766"/>
      <c r="J2" s="766"/>
    </row>
    <row r="3" spans="1:10" ht="18.75">
      <c r="A3" s="80" t="s">
        <v>1012</v>
      </c>
      <c r="B3" s="81"/>
      <c r="C3" s="81"/>
      <c r="D3" s="81"/>
      <c r="E3" s="81"/>
      <c r="F3" s="81"/>
      <c r="G3" s="81"/>
      <c r="H3" s="82"/>
      <c r="I3" s="766"/>
      <c r="J3" s="766"/>
    </row>
    <row r="4" spans="1:10" ht="18.75">
      <c r="A4" s="537" t="s">
        <v>1080</v>
      </c>
      <c r="B4" s="83"/>
      <c r="C4" s="83"/>
      <c r="D4" s="83"/>
      <c r="E4" s="83"/>
      <c r="F4" s="83"/>
      <c r="G4" s="83"/>
      <c r="H4" s="84"/>
      <c r="I4" s="766"/>
      <c r="J4" s="766"/>
    </row>
    <row r="5" spans="1:10" s="76" customFormat="1" ht="30">
      <c r="A5" s="847" t="s">
        <v>1081</v>
      </c>
      <c r="B5" s="134" t="s">
        <v>1082</v>
      </c>
      <c r="C5" s="135" t="s">
        <v>1083</v>
      </c>
      <c r="D5" s="135" t="s">
        <v>1084</v>
      </c>
      <c r="E5" s="136" t="s">
        <v>1085</v>
      </c>
      <c r="F5" s="137" t="s">
        <v>1086</v>
      </c>
      <c r="G5" s="138" t="s">
        <v>1087</v>
      </c>
      <c r="H5" s="139" t="s">
        <v>1088</v>
      </c>
      <c r="I5" s="140"/>
      <c r="J5" s="141"/>
    </row>
    <row r="6" spans="1:10" s="77" customFormat="1">
      <c r="A6" s="175"/>
      <c r="B6" s="142" t="s">
        <v>1089</v>
      </c>
      <c r="C6" s="143" t="s">
        <v>1090</v>
      </c>
      <c r="D6" s="85"/>
      <c r="E6" s="144"/>
      <c r="F6" s="145"/>
      <c r="G6" s="146"/>
      <c r="H6" s="147"/>
    </row>
    <row r="7" spans="1:10" s="77" customFormat="1">
      <c r="A7" s="822" t="s">
        <v>1094</v>
      </c>
      <c r="B7" s="538" t="s">
        <v>30</v>
      </c>
      <c r="C7" s="174" t="s">
        <v>1095</v>
      </c>
      <c r="D7" s="173" t="s">
        <v>1093</v>
      </c>
      <c r="E7" s="169">
        <v>100</v>
      </c>
      <c r="F7" s="170">
        <v>9.99</v>
      </c>
      <c r="G7" s="158">
        <f>E7*F7</f>
        <v>999</v>
      </c>
      <c r="H7" s="159">
        <f>G7</f>
        <v>999</v>
      </c>
    </row>
    <row r="8" spans="1:10" s="77" customFormat="1">
      <c r="A8" s="540">
        <v>99814</v>
      </c>
      <c r="B8" s="538" t="s">
        <v>32</v>
      </c>
      <c r="C8" s="154" t="s">
        <v>1048</v>
      </c>
      <c r="D8" s="155" t="s">
        <v>1018</v>
      </c>
      <c r="E8" s="156">
        <v>50</v>
      </c>
      <c r="F8" s="157">
        <v>1.57</v>
      </c>
      <c r="G8" s="158">
        <f>E8*F8</f>
        <v>78.5</v>
      </c>
      <c r="H8" s="159">
        <f t="shared" ref="H8:H15" si="0">G8</f>
        <v>78.5</v>
      </c>
    </row>
    <row r="9" spans="1:10" s="77" customFormat="1">
      <c r="A9" s="540">
        <v>90441</v>
      </c>
      <c r="B9" s="538" t="s">
        <v>34</v>
      </c>
      <c r="C9" s="154" t="s">
        <v>1104</v>
      </c>
      <c r="D9" s="155" t="s">
        <v>1105</v>
      </c>
      <c r="E9" s="156">
        <f>6*6</f>
        <v>36</v>
      </c>
      <c r="F9" s="157">
        <v>112.76</v>
      </c>
      <c r="G9" s="158">
        <f>E9*F9</f>
        <v>4059.36</v>
      </c>
      <c r="H9" s="159">
        <f>G9</f>
        <v>4059.36</v>
      </c>
    </row>
    <row r="10" spans="1:10" s="77" customFormat="1">
      <c r="A10" s="540">
        <v>2707</v>
      </c>
      <c r="B10" s="538" t="s">
        <v>36</v>
      </c>
      <c r="C10" s="154" t="s">
        <v>919</v>
      </c>
      <c r="D10" s="155" t="s">
        <v>1106</v>
      </c>
      <c r="E10" s="156">
        <v>120</v>
      </c>
      <c r="F10" s="157">
        <v>103.36</v>
      </c>
      <c r="G10" s="158">
        <f>F10*E10</f>
        <v>12403.2</v>
      </c>
      <c r="H10" s="159">
        <f>G10</f>
        <v>12403.2</v>
      </c>
    </row>
    <row r="11" spans="1:10" s="77" customFormat="1">
      <c r="A11" s="539" t="s">
        <v>1107</v>
      </c>
      <c r="B11" s="779" t="s">
        <v>1108</v>
      </c>
      <c r="C11" s="154"/>
      <c r="D11" s="155"/>
      <c r="E11" s="156"/>
      <c r="F11" s="157"/>
      <c r="G11" s="158"/>
      <c r="H11" s="159"/>
    </row>
    <row r="12" spans="1:10" s="77" customFormat="1">
      <c r="A12" s="540" t="s">
        <v>1109</v>
      </c>
      <c r="B12" s="538" t="s">
        <v>68</v>
      </c>
      <c r="C12" s="154" t="s">
        <v>1110</v>
      </c>
      <c r="D12" s="155" t="s">
        <v>1111</v>
      </c>
      <c r="E12" s="156">
        <f>+E9*(3.14*0.05*0.05*0.25)</f>
        <v>7.0650000000000004E-2</v>
      </c>
      <c r="F12" s="157">
        <f>CPU!H7</f>
        <v>3294.4764319999999</v>
      </c>
      <c r="G12" s="158">
        <f>E12*F12</f>
        <v>232.75475992080001</v>
      </c>
      <c r="H12" s="159">
        <f t="shared" si="0"/>
        <v>232.75475992080001</v>
      </c>
    </row>
    <row r="13" spans="1:10" s="77" customFormat="1">
      <c r="A13" s="539"/>
      <c r="B13" s="779" t="s">
        <v>1112</v>
      </c>
      <c r="C13" s="154"/>
      <c r="D13" s="155"/>
      <c r="E13" s="156"/>
      <c r="F13" s="157"/>
      <c r="G13" s="158"/>
      <c r="H13" s="159"/>
    </row>
    <row r="14" spans="1:10" s="77" customFormat="1">
      <c r="A14" s="841" t="s">
        <v>1113</v>
      </c>
      <c r="B14" s="538" t="s">
        <v>297</v>
      </c>
      <c r="C14" s="154" t="s">
        <v>1114</v>
      </c>
      <c r="D14" s="155" t="s">
        <v>1115</v>
      </c>
      <c r="E14" s="156">
        <v>6</v>
      </c>
      <c r="F14" s="157">
        <v>3.17</v>
      </c>
      <c r="G14" s="158">
        <f>E14*F14</f>
        <v>19.02</v>
      </c>
      <c r="H14" s="159">
        <f>G14</f>
        <v>19.02</v>
      </c>
    </row>
    <row r="15" spans="1:10" s="77" customFormat="1">
      <c r="A15" s="540" t="s">
        <v>1116</v>
      </c>
      <c r="B15" s="538" t="s">
        <v>322</v>
      </c>
      <c r="C15" s="154" t="s">
        <v>1124</v>
      </c>
      <c r="D15" s="155" t="s">
        <v>1105</v>
      </c>
      <c r="E15" s="171">
        <v>6</v>
      </c>
      <c r="F15" s="172">
        <v>17.46</v>
      </c>
      <c r="G15" s="158">
        <f>E15*F15</f>
        <v>104.76</v>
      </c>
      <c r="H15" s="159">
        <f t="shared" si="0"/>
        <v>104.76</v>
      </c>
      <c r="I15" s="830"/>
      <c r="J15" s="831"/>
    </row>
    <row r="16" spans="1:10" s="77" customFormat="1">
      <c r="A16" s="152"/>
      <c r="B16" s="538"/>
      <c r="C16" s="154"/>
      <c r="D16" s="155"/>
      <c r="E16" s="156"/>
      <c r="F16" s="157"/>
      <c r="G16" s="158"/>
      <c r="H16" s="159"/>
    </row>
    <row r="17" spans="1:8" s="77" customFormat="1">
      <c r="A17" s="152"/>
      <c r="B17" s="153"/>
      <c r="C17" s="167"/>
      <c r="D17" s="155"/>
      <c r="E17" s="156"/>
      <c r="F17" s="157"/>
      <c r="G17" s="158"/>
      <c r="H17" s="159"/>
    </row>
    <row r="18" spans="1:8" ht="15.75" thickBot="1">
      <c r="A18" s="160"/>
      <c r="B18" s="161"/>
      <c r="C18" s="168" t="s">
        <v>1118</v>
      </c>
      <c r="D18" s="162"/>
      <c r="E18" s="163"/>
      <c r="F18" s="164"/>
      <c r="G18" s="165"/>
      <c r="H18" s="166">
        <f>SUM(H7:H15)</f>
        <v>17896.594759920801</v>
      </c>
    </row>
    <row r="20" spans="1:8" ht="33" customHeight="1">
      <c r="A20" s="766"/>
      <c r="C20" s="995" t="s">
        <v>1125</v>
      </c>
      <c r="D20" s="995"/>
      <c r="E20" s="995"/>
      <c r="F20" s="995"/>
      <c r="G20" s="995"/>
      <c r="H20" s="995"/>
    </row>
    <row r="21" spans="1:8">
      <c r="A21" s="766"/>
      <c r="C21" s="642"/>
      <c r="D21" s="884"/>
      <c r="H21" s="78"/>
    </row>
    <row r="22" spans="1:8">
      <c r="A22" s="766"/>
      <c r="C22" s="828"/>
      <c r="D22" s="77"/>
      <c r="E22" s="77"/>
      <c r="F22" s="77"/>
      <c r="G22" s="77"/>
      <c r="H22" s="766"/>
    </row>
    <row r="23" spans="1:8">
      <c r="A23" s="766"/>
      <c r="C23" s="642"/>
      <c r="D23" s="77"/>
      <c r="E23" s="829"/>
      <c r="F23" s="829"/>
      <c r="G23" s="829"/>
      <c r="H23" s="766"/>
    </row>
  </sheetData>
  <mergeCells count="3">
    <mergeCell ref="A1:H1"/>
    <mergeCell ref="A2:H2"/>
    <mergeCell ref="C20:H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tr300593</dc:creator>
  <cp:keywords/>
  <dc:description/>
  <cp:lastModifiedBy>Pedro Paulo Lima Vilarinho</cp:lastModifiedBy>
  <cp:revision/>
  <dcterms:created xsi:type="dcterms:W3CDTF">2018-10-26T14:21:00Z</dcterms:created>
  <dcterms:modified xsi:type="dcterms:W3CDTF">2021-06-21T17:46:50Z</dcterms:modified>
  <cp:category/>
  <cp:contentStatus/>
</cp:coreProperties>
</file>